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Denne_projektmappe"/>
  <mc:AlternateContent xmlns:mc="http://schemas.openxmlformats.org/markup-compatibility/2006">
    <mc:Choice Requires="x15">
      <x15ac:absPath xmlns:x15ac="http://schemas.microsoft.com/office/spreadsheetml/2010/11/ac" url="https://d.docs.live.net/bca3492d422e0e86/Docs - GW/"/>
    </mc:Choice>
  </mc:AlternateContent>
  <xr:revisionPtr revIDLastSave="0" documentId="8_{A4E738BF-AE67-43E0-AF79-6C65F0D0817D}" xr6:coauthVersionLast="47" xr6:coauthVersionMax="47" xr10:uidLastSave="{00000000-0000-0000-0000-000000000000}"/>
  <bookViews>
    <workbookView xWindow="-110" yWindow="-110" windowWidth="19420" windowHeight="10300" xr2:uid="{00000000-000D-0000-FFFF-FFFF00000000}"/>
  </bookViews>
  <sheets>
    <sheet name="Business Value Summary" sheetId="3" r:id="rId1"/>
    <sheet name="Data Entry" sheetId="1" r:id="rId2"/>
    <sheet name="Business Value Summary - ext." sheetId="2"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96" i="1" l="1"/>
  <c r="AF299" i="1"/>
  <c r="AH299" i="1" s="1"/>
  <c r="AF292" i="1"/>
  <c r="N318" i="1"/>
  <c r="AE294" i="1"/>
  <c r="AH301" i="1"/>
  <c r="AG301" i="1"/>
  <c r="AE301" i="1"/>
  <c r="AD301" i="1"/>
  <c r="AC301" i="1"/>
  <c r="AH300" i="1"/>
  <c r="AG300" i="1"/>
  <c r="AE300" i="1"/>
  <c r="AD300" i="1"/>
  <c r="AC300" i="1"/>
  <c r="AE299" i="1"/>
  <c r="AD299" i="1"/>
  <c r="AC299" i="1"/>
  <c r="AG299" i="1" l="1"/>
  <c r="AE295" i="1"/>
  <c r="M296" i="1" s="1"/>
  <c r="D55" i="3"/>
  <c r="D45" i="3"/>
  <c r="D43" i="3"/>
  <c r="O140" i="1"/>
  <c r="K75" i="1"/>
  <c r="K76" i="1" s="1"/>
  <c r="T261" i="1" l="1"/>
  <c r="T260" i="1"/>
  <c r="N200" i="1"/>
  <c r="N224" i="1"/>
  <c r="M82" i="1"/>
  <c r="K82" i="1" l="1"/>
  <c r="N223" i="1"/>
  <c r="G223" i="1"/>
  <c r="G224" i="1" s="1"/>
  <c r="N222" i="1"/>
  <c r="N221" i="1"/>
  <c r="N199" i="1"/>
  <c r="N168" i="1"/>
  <c r="N167" i="1"/>
  <c r="N161" i="1"/>
  <c r="G167" i="1"/>
  <c r="AH31" i="1" l="1"/>
  <c r="AG31" i="1"/>
  <c r="AE31" i="1"/>
  <c r="AD31" i="1"/>
  <c r="AC31" i="1"/>
  <c r="AH30" i="1"/>
  <c r="AG30" i="1"/>
  <c r="AE30" i="1"/>
  <c r="AD30" i="1"/>
  <c r="AC30" i="1"/>
  <c r="AH166" i="1"/>
  <c r="AG166" i="1"/>
  <c r="K199" i="1" s="1"/>
  <c r="AE166" i="1"/>
  <c r="AD166" i="1"/>
  <c r="AC166" i="1"/>
  <c r="AI165" i="1"/>
  <c r="AH165" i="1"/>
  <c r="AG165" i="1"/>
  <c r="AE165" i="1"/>
  <c r="AD165" i="1"/>
  <c r="AC165" i="1"/>
  <c r="K223" i="1" s="1"/>
  <c r="AH164" i="1"/>
  <c r="AG164" i="1"/>
  <c r="AE164" i="1"/>
  <c r="AD164" i="1"/>
  <c r="AC164" i="1"/>
  <c r="AH163" i="1"/>
  <c r="AG163" i="1"/>
  <c r="AE163" i="1"/>
  <c r="AD163" i="1"/>
  <c r="AC163" i="1"/>
  <c r="AH162" i="1"/>
  <c r="AG162" i="1"/>
  <c r="AE162" i="1"/>
  <c r="AD162" i="1"/>
  <c r="AC162" i="1"/>
  <c r="K222" i="1" s="1"/>
  <c r="K81" i="1"/>
  <c r="K74" i="1"/>
  <c r="K68" i="1"/>
  <c r="K65" i="1"/>
  <c r="K120" i="1"/>
  <c r="AH29" i="1"/>
  <c r="AH28" i="1"/>
  <c r="AH27" i="1"/>
  <c r="AH26" i="1"/>
  <c r="AG29" i="1"/>
  <c r="AG28" i="1"/>
  <c r="AG27" i="1"/>
  <c r="AG26" i="1"/>
  <c r="AE29" i="1"/>
  <c r="AE28" i="1"/>
  <c r="AE27" i="1"/>
  <c r="AE26" i="1"/>
  <c r="AD29" i="1"/>
  <c r="AD28" i="1"/>
  <c r="AD27" i="1"/>
  <c r="AD26" i="1"/>
  <c r="AC29" i="1"/>
  <c r="AC28" i="1"/>
  <c r="AC27" i="1"/>
  <c r="AC26" i="1"/>
  <c r="G29" i="1"/>
  <c r="G28" i="1"/>
  <c r="G27" i="1"/>
  <c r="G26" i="1"/>
  <c r="F30" i="1"/>
  <c r="H28" i="1" s="1"/>
  <c r="J277" i="1"/>
  <c r="J276" i="1"/>
  <c r="J275" i="1"/>
  <c r="K270" i="1"/>
  <c r="K25" i="1"/>
  <c r="N269" i="1"/>
  <c r="N271" i="1"/>
  <c r="N35" i="1"/>
  <c r="AB83" i="1"/>
  <c r="AB84" i="1" s="1"/>
  <c r="AB85" i="1" s="1"/>
  <c r="I85" i="1" s="1"/>
  <c r="AB75" i="1"/>
  <c r="AB76" i="1" s="1"/>
  <c r="AB77" i="1" s="1"/>
  <c r="I78" i="1" s="1"/>
  <c r="AA68" i="1"/>
  <c r="AA69" i="1" s="1"/>
  <c r="I71" i="1" s="1"/>
  <c r="AA53" i="1"/>
  <c r="AA54" i="1" s="1"/>
  <c r="C137" i="1"/>
  <c r="O137" i="1"/>
  <c r="O128" i="1"/>
  <c r="U38" i="1"/>
  <c r="N36" i="1" l="1"/>
  <c r="J270" i="1" s="1"/>
  <c r="M269" i="1" s="1"/>
  <c r="K29" i="1"/>
  <c r="K28" i="1"/>
  <c r="K27" i="1"/>
  <c r="K66" i="1" s="1"/>
  <c r="K26" i="1"/>
  <c r="K50" i="1" s="1"/>
  <c r="Y47" i="1"/>
  <c r="Y48" i="1" s="1"/>
  <c r="Z193" i="1"/>
  <c r="Z177" i="1"/>
  <c r="Z181" i="1" s="1"/>
  <c r="Z163" i="1"/>
  <c r="M125" i="1"/>
  <c r="M126" i="1" s="1"/>
  <c r="M127" i="1" s="1"/>
  <c r="M128" i="1" s="1"/>
  <c r="M129" i="1" s="1"/>
  <c r="M130" i="1" s="1"/>
  <c r="M139" i="1" s="1"/>
  <c r="H27" i="1"/>
  <c r="H29" i="1"/>
  <c r="N29" i="1" s="1"/>
  <c r="H11" i="2" s="1"/>
  <c r="H26" i="1"/>
  <c r="V38" i="1"/>
  <c r="I36" i="1" s="1"/>
  <c r="U50" i="1"/>
  <c r="G46" i="1" s="1"/>
  <c r="AA55" i="1"/>
  <c r="I56" i="1" s="1"/>
  <c r="V26" i="1"/>
  <c r="W26" i="1" s="1"/>
  <c r="O322" i="1"/>
  <c r="O284" i="1"/>
  <c r="O250" i="1"/>
  <c r="O244" i="1"/>
  <c r="O233" i="1"/>
  <c r="O209" i="1"/>
  <c r="O185" i="1"/>
  <c r="O170" i="1"/>
  <c r="O142" i="1"/>
  <c r="K11" i="3"/>
  <c r="E66" i="1"/>
  <c r="E50" i="1"/>
  <c r="H4" i="1"/>
  <c r="J21" i="3"/>
  <c r="N320" i="1"/>
  <c r="N315" i="1"/>
  <c r="J294" i="1"/>
  <c r="N294" i="1"/>
  <c r="N282" i="1"/>
  <c r="N279" i="1"/>
  <c r="N277" i="1"/>
  <c r="N276" i="1"/>
  <c r="N275" i="1"/>
  <c r="N272" i="1"/>
  <c r="I249" i="1"/>
  <c r="I243" i="1"/>
  <c r="N217" i="1"/>
  <c r="N216" i="1"/>
  <c r="N215" i="1"/>
  <c r="N214" i="1"/>
  <c r="N198" i="1"/>
  <c r="K198" i="1" s="1"/>
  <c r="I276" i="1" s="1"/>
  <c r="N197" i="1"/>
  <c r="N193" i="1"/>
  <c r="N192" i="1"/>
  <c r="N191" i="1"/>
  <c r="N190" i="1"/>
  <c r="O182" i="1"/>
  <c r="O181" i="1"/>
  <c r="O177" i="1"/>
  <c r="O176" i="1"/>
  <c r="O175" i="1"/>
  <c r="N166" i="1"/>
  <c r="N165" i="1"/>
  <c r="N160" i="1"/>
  <c r="K160" i="1" s="1"/>
  <c r="K167" i="1" s="1"/>
  <c r="N159" i="1"/>
  <c r="K159" i="1" s="1"/>
  <c r="K166" i="1" s="1"/>
  <c r="N158" i="1"/>
  <c r="K158" i="1" s="1"/>
  <c r="K165" i="1" s="1"/>
  <c r="O139" i="1"/>
  <c r="O138" i="1"/>
  <c r="O136" i="1"/>
  <c r="O135" i="1"/>
  <c r="O134" i="1"/>
  <c r="O131" i="1"/>
  <c r="O130" i="1"/>
  <c r="O129" i="1"/>
  <c r="O127" i="1"/>
  <c r="O126" i="1"/>
  <c r="O125" i="1"/>
  <c r="I66" i="1"/>
  <c r="I50" i="1"/>
  <c r="O94" i="2"/>
  <c r="O91" i="2"/>
  <c r="M82" i="2"/>
  <c r="O73" i="2"/>
  <c r="O71" i="2"/>
  <c r="O69" i="2"/>
  <c r="O60" i="2"/>
  <c r="M60" i="2"/>
  <c r="K60" i="2"/>
  <c r="O57" i="2"/>
  <c r="M57" i="2"/>
  <c r="K57" i="2"/>
  <c r="O50" i="2"/>
  <c r="O48" i="2"/>
  <c r="O45" i="2"/>
  <c r="O42" i="2"/>
  <c r="O39" i="2"/>
  <c r="M42" i="2"/>
  <c r="M39" i="2"/>
  <c r="K42" i="2"/>
  <c r="K39" i="2"/>
  <c r="O33" i="2"/>
  <c r="O32" i="2"/>
  <c r="O31" i="2"/>
  <c r="O30" i="2"/>
  <c r="O29" i="2"/>
  <c r="O28" i="2"/>
  <c r="K33" i="2"/>
  <c r="K32" i="2"/>
  <c r="K31" i="2"/>
  <c r="K30" i="2"/>
  <c r="K29" i="2"/>
  <c r="K28" i="2"/>
  <c r="J7" i="2"/>
  <c r="F7" i="2"/>
  <c r="I22" i="1"/>
  <c r="K57" i="3"/>
  <c r="D57" i="3"/>
  <c r="D53" i="3"/>
  <c r="C53" i="3"/>
  <c r="K50" i="3"/>
  <c r="D50" i="3"/>
  <c r="D48" i="3"/>
  <c r="C48" i="3"/>
  <c r="K45" i="3"/>
  <c r="K43" i="3"/>
  <c r="D41" i="3"/>
  <c r="C41" i="3"/>
  <c r="K38" i="3"/>
  <c r="D38" i="3"/>
  <c r="K36" i="3"/>
  <c r="D36" i="3"/>
  <c r="J16" i="3"/>
  <c r="K17" i="3"/>
  <c r="K19" i="3"/>
  <c r="K20" i="3"/>
  <c r="K21" i="3"/>
  <c r="K27" i="3"/>
  <c r="K32" i="3"/>
  <c r="K34" i="3"/>
  <c r="D32" i="3"/>
  <c r="D30" i="3"/>
  <c r="C30" i="3"/>
  <c r="D25" i="3"/>
  <c r="C25" i="3"/>
  <c r="K22" i="3"/>
  <c r="H22" i="3"/>
  <c r="H21" i="3"/>
  <c r="H20" i="3"/>
  <c r="H19" i="3"/>
  <c r="D19" i="3"/>
  <c r="D17" i="3"/>
  <c r="D14" i="3"/>
  <c r="C14" i="3"/>
  <c r="D34" i="3"/>
  <c r="D27" i="3"/>
  <c r="H260" i="1"/>
  <c r="M260" i="1" s="1"/>
  <c r="M315" i="1"/>
  <c r="N71" i="2"/>
  <c r="H261" i="1"/>
  <c r="M261" i="1" s="1"/>
  <c r="I182" i="1"/>
  <c r="I147" i="1"/>
  <c r="M147" i="1"/>
  <c r="I144" i="1"/>
  <c r="D33" i="2"/>
  <c r="D32" i="2"/>
  <c r="D31" i="2"/>
  <c r="D30" i="2"/>
  <c r="D29" i="2"/>
  <c r="D28" i="2"/>
  <c r="M75" i="1"/>
  <c r="M76" i="1" s="1"/>
  <c r="M77" i="1" s="1"/>
  <c r="M66" i="1"/>
  <c r="M50" i="1"/>
  <c r="G199" i="1" l="1"/>
  <c r="G200" i="1" s="1"/>
  <c r="AA163" i="1"/>
  <c r="AA166" i="1" s="1"/>
  <c r="I275" i="1"/>
  <c r="E95" i="1"/>
  <c r="D105" i="1" s="1"/>
  <c r="D113" i="1" s="1"/>
  <c r="Z156" i="1"/>
  <c r="Z157" i="1" s="1"/>
  <c r="G155" i="1" s="1"/>
  <c r="M135" i="1"/>
  <c r="M136" i="1"/>
  <c r="M137" i="1"/>
  <c r="M134" i="1"/>
  <c r="M181" i="1"/>
  <c r="K190" i="1"/>
  <c r="K197" i="1" s="1"/>
  <c r="K221" i="1" s="1"/>
  <c r="K214" i="1"/>
  <c r="K215" i="1"/>
  <c r="K191" i="1"/>
  <c r="K192" i="1"/>
  <c r="K216" i="1"/>
  <c r="M175" i="1"/>
  <c r="M176" i="1" s="1"/>
  <c r="M182" i="1" s="1"/>
  <c r="V49" i="1"/>
  <c r="N27" i="1"/>
  <c r="N66" i="1" s="1"/>
  <c r="P97" i="1" s="1"/>
  <c r="H30" i="1"/>
  <c r="J17" i="3" s="1"/>
  <c r="M138" i="1"/>
  <c r="J53" i="1"/>
  <c r="J54" i="1" s="1"/>
  <c r="X68" i="1"/>
  <c r="G62" i="1" s="1"/>
  <c r="X26" i="1"/>
  <c r="I30" i="1"/>
  <c r="J22" i="3"/>
  <c r="N28" i="1"/>
  <c r="J20" i="3"/>
  <c r="F9" i="2"/>
  <c r="F10" i="2"/>
  <c r="F11" i="2"/>
  <c r="M83" i="1"/>
  <c r="M84" i="1" s="1"/>
  <c r="K83" i="1"/>
  <c r="H66" i="1"/>
  <c r="H10" i="2" l="1"/>
  <c r="I308" i="1"/>
  <c r="M308" i="1" s="1"/>
  <c r="G156" i="1"/>
  <c r="AA193" i="1"/>
  <c r="AA196" i="1" s="1"/>
  <c r="E97" i="1"/>
  <c r="E98" i="1" s="1"/>
  <c r="D106" i="1" s="1"/>
  <c r="Z189" i="1"/>
  <c r="Z190" i="1" s="1"/>
  <c r="V65" i="1"/>
  <c r="Y88" i="1" s="1"/>
  <c r="P27" i="1"/>
  <c r="N148" i="1" s="1"/>
  <c r="J55" i="1"/>
  <c r="J75" i="1"/>
  <c r="X69" i="1"/>
  <c r="J82" i="1" s="1"/>
  <c r="H70" i="1"/>
  <c r="H69" i="1"/>
  <c r="H249" i="1" l="1"/>
  <c r="J60" i="2" s="1"/>
  <c r="G187" i="1"/>
  <c r="G211" i="1"/>
  <c r="C213" i="1"/>
  <c r="C189" i="1"/>
  <c r="G212" i="1"/>
  <c r="C210" i="1"/>
  <c r="Z214" i="1"/>
  <c r="G188" i="1"/>
  <c r="D114" i="1"/>
  <c r="G114" i="1"/>
  <c r="D107" i="1"/>
  <c r="W84" i="1"/>
  <c r="H82" i="1"/>
  <c r="J83" i="1"/>
  <c r="H83" i="1" s="1"/>
  <c r="N83" i="1" s="1"/>
  <c r="J84" i="1"/>
  <c r="H84" i="1" s="1"/>
  <c r="N84" i="1" s="1"/>
  <c r="J76" i="1"/>
  <c r="H76" i="1" s="1"/>
  <c r="N76" i="1" s="1"/>
  <c r="J77" i="1"/>
  <c r="H77" i="1" s="1"/>
  <c r="N77" i="1" s="1"/>
  <c r="J9" i="2"/>
  <c r="H75" i="1"/>
  <c r="N75" i="1" s="1"/>
  <c r="I294" i="1"/>
  <c r="H71" i="1"/>
  <c r="N69" i="1"/>
  <c r="N70" i="1"/>
  <c r="N249" i="1" l="1"/>
  <c r="N250" i="1" s="1"/>
  <c r="J45" i="3" s="1"/>
  <c r="H215" i="1"/>
  <c r="M215" i="1" s="1"/>
  <c r="H216" i="1"/>
  <c r="M216" i="1" s="1"/>
  <c r="M294" i="1"/>
  <c r="M320" i="1" s="1"/>
  <c r="N82" i="1"/>
  <c r="H214" i="1" s="1"/>
  <c r="R84" i="1"/>
  <c r="R85" i="1"/>
  <c r="K9" i="2"/>
  <c r="N71" i="1"/>
  <c r="X70" i="1" s="1"/>
  <c r="I114" i="1"/>
  <c r="H191" i="1" s="1"/>
  <c r="H18" i="2"/>
  <c r="G97" i="1"/>
  <c r="H106" i="1" s="1"/>
  <c r="F18" i="2"/>
  <c r="F97" i="1"/>
  <c r="G106" i="1" s="1"/>
  <c r="F19" i="2"/>
  <c r="F98" i="1"/>
  <c r="G107" i="1" s="1"/>
  <c r="H19" i="2"/>
  <c r="G98" i="1"/>
  <c r="H107" i="1" s="1"/>
  <c r="H85" i="1"/>
  <c r="H78" i="1"/>
  <c r="H190" i="1"/>
  <c r="N60" i="2" l="1"/>
  <c r="L60" i="2" s="1"/>
  <c r="N85" i="1"/>
  <c r="T84" i="1" s="1"/>
  <c r="X80" i="1"/>
  <c r="H192" i="1"/>
  <c r="M192" i="1" s="1"/>
  <c r="M191" i="1"/>
  <c r="X79" i="1"/>
  <c r="N78" i="1"/>
  <c r="R83" i="1"/>
  <c r="K106" i="1"/>
  <c r="K107" i="1"/>
  <c r="L82" i="2"/>
  <c r="N298" i="1"/>
  <c r="K98" i="1"/>
  <c r="J107" i="1" s="1"/>
  <c r="H277" i="1"/>
  <c r="K277" i="1" s="1"/>
  <c r="M277" i="1" s="1"/>
  <c r="K97" i="1"/>
  <c r="J106" i="1" s="1"/>
  <c r="J18" i="2"/>
  <c r="K18" i="2" s="1"/>
  <c r="J19" i="2"/>
  <c r="K19" i="2" s="1"/>
  <c r="T85" i="1" l="1"/>
  <c r="T83" i="1"/>
  <c r="X81" i="1"/>
  <c r="T82" i="1"/>
  <c r="G214" i="1" s="1"/>
  <c r="N87" i="1"/>
  <c r="W83" i="1" s="1"/>
  <c r="W85" i="1" s="1"/>
  <c r="I307" i="1" s="1"/>
  <c r="M307" i="1" s="1"/>
  <c r="T78" i="1"/>
  <c r="T76" i="1"/>
  <c r="G191" i="1" s="1"/>
  <c r="T75" i="1"/>
  <c r="G190" i="1" s="1"/>
  <c r="T77" i="1"/>
  <c r="X72" i="1"/>
  <c r="J45" i="2"/>
  <c r="R86" i="1"/>
  <c r="M98" i="1"/>
  <c r="J108" i="1"/>
  <c r="F130" i="1" s="1"/>
  <c r="M107" i="1"/>
  <c r="N82" i="2"/>
  <c r="X73" i="1"/>
  <c r="H276" i="1"/>
  <c r="K276" i="1" s="1"/>
  <c r="M276" i="1" s="1"/>
  <c r="K99" i="1"/>
  <c r="H217" i="1"/>
  <c r="M214" i="1"/>
  <c r="M217" i="1" s="1"/>
  <c r="M190" i="1"/>
  <c r="M193" i="1" s="1"/>
  <c r="H193" i="1"/>
  <c r="M97" i="1"/>
  <c r="G192" i="1" l="1"/>
  <c r="H222" i="1"/>
  <c r="M222" i="1" s="1"/>
  <c r="H223" i="1"/>
  <c r="M223" i="1" s="1"/>
  <c r="H221" i="1"/>
  <c r="H198" i="1"/>
  <c r="H197" i="1"/>
  <c r="H199" i="1"/>
  <c r="M199" i="1" s="1"/>
  <c r="X74" i="1"/>
  <c r="Y81" i="1" s="1"/>
  <c r="S86" i="1"/>
  <c r="S85" i="1"/>
  <c r="S84" i="1"/>
  <c r="S83" i="1"/>
  <c r="N98" i="1"/>
  <c r="V88" i="1"/>
  <c r="W88" i="1"/>
  <c r="H9" i="2"/>
  <c r="H224" i="1" l="1"/>
  <c r="M221" i="1"/>
  <c r="G193" i="1"/>
  <c r="H200" i="1"/>
  <c r="M197" i="1"/>
  <c r="X76" i="1"/>
  <c r="Y76" i="1" s="1"/>
  <c r="M198" i="1"/>
  <c r="AA195" i="1"/>
  <c r="AA197" i="1" s="1"/>
  <c r="X88" i="1"/>
  <c r="H130" i="1"/>
  <c r="F139" i="1"/>
  <c r="W227" i="1"/>
  <c r="L48" i="2" s="1"/>
  <c r="M224" i="1" l="1"/>
  <c r="W226" i="1"/>
  <c r="J48" i="2" s="1"/>
  <c r="N48" i="2" s="1"/>
  <c r="M200" i="1"/>
  <c r="L45" i="2"/>
  <c r="N45" i="2" s="1"/>
  <c r="H139" i="1"/>
  <c r="K130" i="1"/>
  <c r="N209" i="1" l="1"/>
  <c r="J36" i="3" s="1"/>
  <c r="N233" i="1"/>
  <c r="J38" i="3" s="1"/>
  <c r="H32" i="2"/>
  <c r="N130" i="1"/>
  <c r="K139" i="1"/>
  <c r="J32" i="2" l="1"/>
  <c r="L32" i="2"/>
  <c r="N139" i="1"/>
  <c r="N32" i="2" l="1"/>
  <c r="H50" i="1"/>
  <c r="H243" i="1"/>
  <c r="N243" i="1" s="1"/>
  <c r="N244" i="1" s="1"/>
  <c r="V30" i="1"/>
  <c r="N26" i="1"/>
  <c r="N50" i="1" s="1"/>
  <c r="F8" i="2"/>
  <c r="J57" i="2" s="1"/>
  <c r="J19" i="3"/>
  <c r="W56" i="1" l="1"/>
  <c r="P95" i="1"/>
  <c r="W30" i="1"/>
  <c r="X30" i="1" s="1"/>
  <c r="H53" i="1"/>
  <c r="N53" i="1" s="1"/>
  <c r="H158" i="1" s="1"/>
  <c r="H55" i="1"/>
  <c r="N55" i="1" s="1"/>
  <c r="H54" i="1"/>
  <c r="N54" i="1" s="1"/>
  <c r="G95" i="1" s="1"/>
  <c r="F12" i="2"/>
  <c r="N30" i="1"/>
  <c r="J43" i="3"/>
  <c r="N57" i="2"/>
  <c r="L57" i="2" s="1"/>
  <c r="G99" i="1" l="1"/>
  <c r="H105" i="1"/>
  <c r="H108" i="1" s="1"/>
  <c r="J115" i="1" s="1"/>
  <c r="P99" i="1"/>
  <c r="G113" i="1"/>
  <c r="F127" i="1"/>
  <c r="H24" i="2"/>
  <c r="H17" i="2"/>
  <c r="H20" i="2" s="1"/>
  <c r="N56" i="1"/>
  <c r="H95" i="1"/>
  <c r="H275" i="1"/>
  <c r="K275" i="1" s="1"/>
  <c r="M275" i="1" s="1"/>
  <c r="J17" i="2"/>
  <c r="J20" i="2" s="1"/>
  <c r="F17" i="2"/>
  <c r="F95" i="1"/>
  <c r="G105" i="1" s="1"/>
  <c r="H56" i="1"/>
  <c r="I113" i="1" l="1"/>
  <c r="G115" i="1"/>
  <c r="H99" i="1"/>
  <c r="H263" i="1" s="1"/>
  <c r="I105" i="1"/>
  <c r="K105" i="1" s="1"/>
  <c r="G108" i="1"/>
  <c r="F125" i="1" s="1"/>
  <c r="M95" i="1"/>
  <c r="T56" i="1"/>
  <c r="T55" i="1"/>
  <c r="T54" i="1"/>
  <c r="T53" i="1"/>
  <c r="G158" i="1" s="1"/>
  <c r="F136" i="1"/>
  <c r="H136" i="1" s="1"/>
  <c r="K136" i="1" s="1"/>
  <c r="H127" i="1"/>
  <c r="K127" i="1" s="1"/>
  <c r="K17" i="2"/>
  <c r="K20" i="2" s="1"/>
  <c r="F20" i="2"/>
  <c r="M158" i="1"/>
  <c r="F99" i="1"/>
  <c r="W55" i="1"/>
  <c r="W57" i="1" s="1"/>
  <c r="I306" i="1" s="1"/>
  <c r="G159" i="1" l="1"/>
  <c r="G160" i="1" s="1"/>
  <c r="G161" i="1" s="1"/>
  <c r="I115" i="1"/>
  <c r="K115" i="1" s="1"/>
  <c r="H159" i="1"/>
  <c r="M105" i="1"/>
  <c r="M108" i="1" s="1"/>
  <c r="K108" i="1"/>
  <c r="F129" i="1"/>
  <c r="H129" i="1" s="1"/>
  <c r="K129" i="1" s="1"/>
  <c r="I108" i="1"/>
  <c r="N127" i="1"/>
  <c r="J30" i="2" s="1"/>
  <c r="H30" i="2"/>
  <c r="N136" i="1"/>
  <c r="N30" i="2" s="1"/>
  <c r="L30" i="2"/>
  <c r="K263" i="1"/>
  <c r="M263" i="1" s="1"/>
  <c r="M266" i="1" s="1"/>
  <c r="H8" i="2"/>
  <c r="H12" i="2" s="1"/>
  <c r="K144" i="1"/>
  <c r="M306" i="1"/>
  <c r="N95" i="1"/>
  <c r="N99" i="1" s="1"/>
  <c r="M99" i="1"/>
  <c r="H125" i="1"/>
  <c r="F134" i="1"/>
  <c r="K119" i="1" l="1"/>
  <c r="F126" i="1" s="1"/>
  <c r="H126" i="1" s="1"/>
  <c r="K126" i="1" s="1"/>
  <c r="H29" i="2" s="1"/>
  <c r="K121" i="1"/>
  <c r="F128" i="1" s="1"/>
  <c r="F138" i="1"/>
  <c r="H138" i="1" s="1"/>
  <c r="H160" i="1"/>
  <c r="H161" i="1" s="1"/>
  <c r="M159" i="1"/>
  <c r="L69" i="2"/>
  <c r="M271" i="1"/>
  <c r="M279" i="1" s="1"/>
  <c r="N284" i="1" s="1"/>
  <c r="J50" i="3" s="1"/>
  <c r="M309" i="1"/>
  <c r="H134" i="1"/>
  <c r="K125" i="1"/>
  <c r="H31" i="2"/>
  <c r="N129" i="1"/>
  <c r="J31" i="2" s="1"/>
  <c r="K146" i="1"/>
  <c r="K147" i="1" s="1"/>
  <c r="N147" i="1" s="1"/>
  <c r="P148" i="1" s="1"/>
  <c r="K138" i="1" l="1"/>
  <c r="N138" i="1" s="1"/>
  <c r="N31" i="2" s="1"/>
  <c r="G215" i="1"/>
  <c r="H165" i="1"/>
  <c r="M165" i="1" s="1"/>
  <c r="H166" i="1"/>
  <c r="H167" i="1"/>
  <c r="M167" i="1" s="1"/>
  <c r="N126" i="1"/>
  <c r="J29" i="2" s="1"/>
  <c r="F135" i="1"/>
  <c r="H135" i="1" s="1"/>
  <c r="K135" i="1" s="1"/>
  <c r="L29" i="2" s="1"/>
  <c r="K122" i="1"/>
  <c r="F131" i="1"/>
  <c r="H23" i="2"/>
  <c r="H128" i="1"/>
  <c r="F137" i="1"/>
  <c r="H137" i="1" s="1"/>
  <c r="K137" i="1" s="1"/>
  <c r="N137" i="1" s="1"/>
  <c r="H176" i="1"/>
  <c r="K176" i="1" s="1"/>
  <c r="N176" i="1" s="1"/>
  <c r="M160" i="1"/>
  <c r="M161" i="1" s="1"/>
  <c r="N69" i="2"/>
  <c r="N73" i="2" s="1"/>
  <c r="L89" i="2"/>
  <c r="M311" i="1"/>
  <c r="I322" i="1" s="1"/>
  <c r="H28" i="2"/>
  <c r="N125" i="1"/>
  <c r="K134" i="1"/>
  <c r="I314" i="1" l="1"/>
  <c r="N89" i="2"/>
  <c r="J55" i="3"/>
  <c r="L31" i="2"/>
  <c r="G216" i="1"/>
  <c r="G217" i="1" s="1"/>
  <c r="N135" i="1"/>
  <c r="N29" i="2" s="1"/>
  <c r="AA165" i="1"/>
  <c r="AA168" i="1" s="1"/>
  <c r="H175" i="1"/>
  <c r="K175" i="1" s="1"/>
  <c r="N175" i="1" s="1"/>
  <c r="N177" i="1" s="1"/>
  <c r="K128" i="1"/>
  <c r="H131" i="1"/>
  <c r="H140" i="1"/>
  <c r="F140" i="1"/>
  <c r="M166" i="1"/>
  <c r="L39" i="2" s="1"/>
  <c r="J39" i="2"/>
  <c r="K140" i="1"/>
  <c r="L33" i="2" s="1"/>
  <c r="N134" i="1"/>
  <c r="L28" i="2"/>
  <c r="J28" i="2"/>
  <c r="M314" i="1" l="1"/>
  <c r="N140" i="1"/>
  <c r="M168" i="1"/>
  <c r="N39" i="2"/>
  <c r="H177" i="1"/>
  <c r="K177" i="1"/>
  <c r="K181" i="1" s="1"/>
  <c r="N181" i="1" s="1"/>
  <c r="N128" i="1"/>
  <c r="N131" i="1" s="1"/>
  <c r="K131" i="1"/>
  <c r="H33" i="2" s="1"/>
  <c r="J42" i="2"/>
  <c r="N28" i="2"/>
  <c r="N33" i="2" s="1"/>
  <c r="M318" i="1" l="1"/>
  <c r="N322" i="1" s="1"/>
  <c r="J33" i="2"/>
  <c r="N142" i="1"/>
  <c r="J27" i="3" s="1"/>
  <c r="N170" i="1"/>
  <c r="J32" i="3" s="1"/>
  <c r="K182" i="1"/>
  <c r="N182" i="1" s="1"/>
  <c r="N91" i="2" l="1"/>
  <c r="J57" i="3"/>
  <c r="L42" i="2"/>
  <c r="N42" i="2" s="1"/>
  <c r="N50" i="2" s="1"/>
  <c r="K183" i="1"/>
  <c r="N185" i="1"/>
  <c r="J34" i="3" s="1"/>
  <c r="J11" i="3" s="1"/>
  <c r="G4" i="1" s="1"/>
  <c r="N94" i="2" l="1"/>
  <c r="Q38" i="3"/>
</calcChain>
</file>

<file path=xl/sharedStrings.xml><?xml version="1.0" encoding="utf-8"?>
<sst xmlns="http://schemas.openxmlformats.org/spreadsheetml/2006/main" count="658" uniqueCount="376">
  <si>
    <t>Mandatory input fields</t>
  </si>
  <si>
    <t>Hotel</t>
  </si>
  <si>
    <t>Section #1</t>
  </si>
  <si>
    <t>SAF savings</t>
  </si>
  <si>
    <t>AIR</t>
  </si>
  <si>
    <t>Other</t>
  </si>
  <si>
    <t>Check</t>
  </si>
  <si>
    <t>Amount</t>
  </si>
  <si>
    <t>In %</t>
  </si>
  <si>
    <t>Average</t>
  </si>
  <si>
    <t xml:space="preserve">Number of </t>
  </si>
  <si>
    <t>bookings</t>
  </si>
  <si>
    <t>Average no.</t>
  </si>
  <si>
    <t>Total no.</t>
  </si>
  <si>
    <t>Bookings</t>
  </si>
  <si>
    <t>Hotels no agreement</t>
  </si>
  <si>
    <t>Offline via TMC</t>
  </si>
  <si>
    <t>Calculations</t>
  </si>
  <si>
    <t>Rental car</t>
  </si>
  <si>
    <t>Rail</t>
  </si>
  <si>
    <t xml:space="preserve">CHECK and CONTROL </t>
  </si>
  <si>
    <t>Value</t>
  </si>
  <si>
    <t>Result</t>
  </si>
  <si>
    <t>New booking value to be used in results</t>
  </si>
  <si>
    <t>If yes</t>
  </si>
  <si>
    <t>If no</t>
  </si>
  <si>
    <t>Hotels with agreement (*)</t>
  </si>
  <si>
    <t>Total</t>
  </si>
  <si>
    <t>How do you book air bookings?</t>
  </si>
  <si>
    <t>Hotels with company agreement:</t>
  </si>
  <si>
    <t>Total number - Hotel</t>
  </si>
  <si>
    <t xml:space="preserve">Negotiated </t>
  </si>
  <si>
    <t>Sub Total</t>
  </si>
  <si>
    <t>Sub total</t>
  </si>
  <si>
    <t>Total travel spend</t>
  </si>
  <si>
    <t>HOTEL</t>
  </si>
  <si>
    <t>RAIL</t>
  </si>
  <si>
    <t>CAR</t>
  </si>
  <si>
    <t>EUR</t>
  </si>
  <si>
    <t>Booking methods</t>
  </si>
  <si>
    <t>Offline</t>
  </si>
  <si>
    <t>Via TMC</t>
  </si>
  <si>
    <t>Online</t>
  </si>
  <si>
    <t>TMC OBT</t>
  </si>
  <si>
    <t>Airline website</t>
  </si>
  <si>
    <t>HOTEL (Negotiated)</t>
  </si>
  <si>
    <t>HOTEL Other</t>
  </si>
  <si>
    <t>Website</t>
  </si>
  <si>
    <t>AIR/HOTEL</t>
  </si>
  <si>
    <t>Nego. hotels</t>
  </si>
  <si>
    <t>Hotel with agreement</t>
  </si>
  <si>
    <t>Hotel without agreement</t>
  </si>
  <si>
    <t>Air Website</t>
  </si>
  <si>
    <t>Hotel website</t>
  </si>
  <si>
    <t>Summary Booking channels</t>
  </si>
  <si>
    <t>Traditional system (Cytric, KDC Neo, Concur, GetThere, Other)</t>
  </si>
  <si>
    <t>Type of Online booking tool provided from TMC</t>
  </si>
  <si>
    <t>TMC OBT Bookings</t>
  </si>
  <si>
    <t>TMC OBT tool</t>
  </si>
  <si>
    <t>Traditional 2nd generation</t>
  </si>
  <si>
    <t>Modern 3rd generation</t>
  </si>
  <si>
    <t>Time spent on bookings</t>
  </si>
  <si>
    <t>TMC OBT Traditional</t>
  </si>
  <si>
    <t>TMC OBT 3rd generation</t>
  </si>
  <si>
    <t>minutes/booking</t>
  </si>
  <si>
    <t>Minutes total</t>
  </si>
  <si>
    <t>Hours/Total</t>
  </si>
  <si>
    <t>Total cost</t>
  </si>
  <si>
    <t>Hours</t>
  </si>
  <si>
    <t>Cost</t>
  </si>
  <si>
    <t>Salary cost</t>
  </si>
  <si>
    <t>Save minutes</t>
  </si>
  <si>
    <t>Saved Min. Tot.</t>
  </si>
  <si>
    <t>Savings potential w. Spotnana OBT</t>
  </si>
  <si>
    <t>One day trips (Without hotel stay)</t>
  </si>
  <si>
    <t>Room nights</t>
  </si>
  <si>
    <t>Trips with overnight stay</t>
  </si>
  <si>
    <t>per booking</t>
  </si>
  <si>
    <t xml:space="preserve">Total </t>
  </si>
  <si>
    <t>Estimated no. Room nights based on volume</t>
  </si>
  <si>
    <t>trip, night, etc.</t>
  </si>
  <si>
    <t>Trip types for AIR with/without hotel stay</t>
  </si>
  <si>
    <t>Diff. In</t>
  </si>
  <si>
    <t>Online adoption</t>
  </si>
  <si>
    <t>New adoption</t>
  </si>
  <si>
    <t>%</t>
  </si>
  <si>
    <t>Fee</t>
  </si>
  <si>
    <t>Current fees for online</t>
  </si>
  <si>
    <t>Bookings directly with airline</t>
  </si>
  <si>
    <t>Current fee</t>
  </si>
  <si>
    <t>New fee</t>
  </si>
  <si>
    <t>Savings</t>
  </si>
  <si>
    <t>Time savings potentials - NEW BOOKINGS</t>
  </si>
  <si>
    <t>TMC fee savings potentials - AIR &amp; HOTEL BOOKINGS</t>
  </si>
  <si>
    <t>Number of TMC bookings</t>
  </si>
  <si>
    <t>Total changed</t>
  </si>
  <si>
    <t>TMC change</t>
  </si>
  <si>
    <t>Total number of total chaged trip moved to self service</t>
  </si>
  <si>
    <t>Changed online</t>
  </si>
  <si>
    <t>TMC change Offline</t>
  </si>
  <si>
    <t>Lower air fares due to better fares</t>
  </si>
  <si>
    <t>Move to NDC/LCC fares</t>
  </si>
  <si>
    <t>Volume</t>
  </si>
  <si>
    <t>Lower fare ratio</t>
  </si>
  <si>
    <t>Lower fares due to better access to right relevant content for AIR and HOTEL</t>
  </si>
  <si>
    <t>Savings on Air volume</t>
  </si>
  <si>
    <t>Current volume</t>
  </si>
  <si>
    <t>New volume</t>
  </si>
  <si>
    <t>TMC Offline fees - NEW BOOKINGS - AIR (*)</t>
  </si>
  <si>
    <t>(*) Portion of Offline bookings moved to online</t>
  </si>
  <si>
    <t>TMC Change fees - AIR bookings</t>
  </si>
  <si>
    <t>TMC fees - Negotiated hotels</t>
  </si>
  <si>
    <t>TMC fees - Standard hotels</t>
  </si>
  <si>
    <t>Saving on Hotel volume</t>
  </si>
  <si>
    <t>ESG Reporting - Savings potential</t>
  </si>
  <si>
    <t>Goodwings' Travel Management System investment and ROI model dashboard</t>
  </si>
  <si>
    <t>CHECK AREA - DO NOT CHANGE OR DELETE</t>
  </si>
  <si>
    <t>END</t>
  </si>
  <si>
    <t>Volume hotel</t>
  </si>
  <si>
    <t>Bookings directly with Hotel</t>
  </si>
  <si>
    <t>New cost</t>
  </si>
  <si>
    <t>Old cost</t>
  </si>
  <si>
    <t>Total savings on TMC fees</t>
  </si>
  <si>
    <t xml:space="preserve">With the Goodwings Sustainability dashboard with live data SBT reports can be generated instantly based on </t>
  </si>
  <si>
    <t>all travel data booked via the system and manually entered via the travel log.</t>
  </si>
  <si>
    <t>FTE days</t>
  </si>
  <si>
    <t>Collecting data from TMC and other travel vendors</t>
  </si>
  <si>
    <t xml:space="preserve">Normalize data to reporting </t>
  </si>
  <si>
    <t>Enter data into report templates and generate reports</t>
  </si>
  <si>
    <t>Total cost - ESG reporting (Manual work)</t>
  </si>
  <si>
    <t>External ESG advisor cost avoidance</t>
  </si>
  <si>
    <t>Enter numbers</t>
  </si>
  <si>
    <t>Days Spent/per location</t>
  </si>
  <si>
    <t>Local office - Collection of data (Misc. Travel spend)</t>
  </si>
  <si>
    <t>Locations/POS</t>
  </si>
  <si>
    <t>Min/booking</t>
  </si>
  <si>
    <t>Bookings directly on vendor websites (AIR/HOTEL) (*)</t>
  </si>
  <si>
    <t>(*) Collect and calculate CO2 emission per booking manually</t>
  </si>
  <si>
    <t>Total cost - ESG reporting via GW dashboard (Automatically generated)</t>
  </si>
  <si>
    <t>Added costs: (Customer will move direct bookings to OBT)</t>
  </si>
  <si>
    <t>Estimated cost (Internal employee daily FTE rate)</t>
  </si>
  <si>
    <t>Direct website bookings moved to OBT</t>
  </si>
  <si>
    <t>Savings on time spent on collecting data and create reports:</t>
  </si>
  <si>
    <t>FTE-Days</t>
  </si>
  <si>
    <t>Total saving</t>
  </si>
  <si>
    <t>TOTAL ESG REPORTING saving</t>
  </si>
  <si>
    <t>SAF savings potential</t>
  </si>
  <si>
    <t>ESG Reporting savings</t>
  </si>
  <si>
    <t>Flight emission</t>
  </si>
  <si>
    <t>T/CO2</t>
  </si>
  <si>
    <t>Hotel emission</t>
  </si>
  <si>
    <t>Estmated SAF costs</t>
  </si>
  <si>
    <t>CO2 reduction potential (Behavoural changes)</t>
  </si>
  <si>
    <t>No. Of</t>
  </si>
  <si>
    <t>T/CO2 booking</t>
  </si>
  <si>
    <t>Goodwings compensated SAF</t>
  </si>
  <si>
    <t>Savings in CO2 by changing booking and travel behavour</t>
  </si>
  <si>
    <t>Current emission</t>
  </si>
  <si>
    <t>Savings in Emission</t>
  </si>
  <si>
    <t>Goodwings will invest in SAF based on collected hotel commission:</t>
  </si>
  <si>
    <t>Commission</t>
  </si>
  <si>
    <t>Ton/SAF</t>
  </si>
  <si>
    <t>collected</t>
  </si>
  <si>
    <t xml:space="preserve">Invested </t>
  </si>
  <si>
    <t>Ton of SAF</t>
  </si>
  <si>
    <t>Savings in CO2 emission</t>
  </si>
  <si>
    <t>Online via TMC (online tool)</t>
  </si>
  <si>
    <t>Offline via TMC (travel agent)</t>
  </si>
  <si>
    <t>Directly via airlines</t>
  </si>
  <si>
    <t>#bookings</t>
  </si>
  <si>
    <t>Directly via hotels</t>
  </si>
  <si>
    <t xml:space="preserve"> </t>
  </si>
  <si>
    <t>hide for now</t>
  </si>
  <si>
    <t>Booked online</t>
  </si>
  <si>
    <t>Booked offline</t>
  </si>
  <si>
    <t>Share in %</t>
  </si>
  <si>
    <t>Move to corporate rates</t>
  </si>
  <si>
    <t>Avg. corporate rate savings</t>
  </si>
  <si>
    <t>New fees</t>
  </si>
  <si>
    <t>SAF CO2 reduction - paid by Goodwings</t>
  </si>
  <si>
    <t>SAF CO2 reduction - Cost avoidance:</t>
  </si>
  <si>
    <t>Total savings</t>
  </si>
  <si>
    <t xml:space="preserve">Want help on how to use the calculator? </t>
  </si>
  <si>
    <t>Air</t>
  </si>
  <si>
    <t>Section #2</t>
  </si>
  <si>
    <r>
      <t xml:space="preserve">💡 </t>
    </r>
    <r>
      <rPr>
        <b/>
        <sz val="10"/>
        <color rgb="FF000000"/>
        <rFont val="Arial"/>
        <family val="2"/>
        <scheme val="minor"/>
      </rPr>
      <t>Please note</t>
    </r>
    <r>
      <rPr>
        <sz val="10"/>
        <color rgb="FF000000"/>
        <rFont val="Arial"/>
        <family val="2"/>
        <scheme val="minor"/>
      </rPr>
      <t xml:space="preserve">
In this section you can break down your air spend to increase accuracy in the business value calcuation. If you choose not to by entering "no" the calculator will use the gross numbers from section 1 </t>
    </r>
  </si>
  <si>
    <r>
      <t xml:space="preserve">💡 </t>
    </r>
    <r>
      <rPr>
        <b/>
        <sz val="10"/>
        <color rgb="FF000000"/>
        <rFont val="Arial"/>
        <family val="2"/>
        <scheme val="minor"/>
      </rPr>
      <t>Please note</t>
    </r>
    <r>
      <rPr>
        <sz val="10"/>
        <color rgb="FF000000"/>
        <rFont val="Arial"/>
        <family val="2"/>
        <scheme val="minor"/>
      </rPr>
      <t xml:space="preserve">
In this section you can break down your hotel spend to increase accuracy in the business value calcuation. If you choose not to by entering "no" the calculator will use the gross numbers from section 1 </t>
    </r>
  </si>
  <si>
    <t>Detailed air spend</t>
  </si>
  <si>
    <t>Section #3</t>
  </si>
  <si>
    <t>Detailed hotel spend</t>
  </si>
  <si>
    <t>Overall travel spend</t>
  </si>
  <si>
    <t>(*) Company has negotiated special rate with hotel or hotel chain</t>
  </si>
  <si>
    <t>Section #4</t>
  </si>
  <si>
    <t>Section #5</t>
  </si>
  <si>
    <t>Current travel platform/behaviour</t>
  </si>
  <si>
    <t>Modern 3rd generation software (ATRIIS, Symphony, Other)</t>
  </si>
  <si>
    <t>Non-mandatory input fields, less relevant for accuracy</t>
  </si>
  <si>
    <t>Non-mandatory input fields, very relevant for accuracy</t>
  </si>
  <si>
    <t>Automatically calculated. Don't enter data here!</t>
  </si>
  <si>
    <t>Savings from less Travel Agent fees</t>
  </si>
  <si>
    <t>Section #6</t>
  </si>
  <si>
    <t>Savings from lower rates and better content</t>
  </si>
  <si>
    <t>Section #7</t>
  </si>
  <si>
    <t>Savings from less internal time and external consultants on ESG reporting</t>
  </si>
  <si>
    <t>Section #8</t>
  </si>
  <si>
    <t>Net savings in ESG data reporting (after new fees):</t>
  </si>
  <si>
    <t>SAF investment based on collected hotel commissions</t>
  </si>
  <si>
    <t>Executive summary</t>
  </si>
  <si>
    <t>General overview:</t>
  </si>
  <si>
    <t>TON CO2</t>
  </si>
  <si>
    <t xml:space="preserve">How much money do you spend on travel? </t>
  </si>
  <si>
    <t>Detailed summary</t>
  </si>
  <si>
    <t>Book a free session here</t>
  </si>
  <si>
    <t>Entry field 1</t>
  </si>
  <si>
    <t>Entry field 2</t>
  </si>
  <si>
    <t>Entry field 3</t>
  </si>
  <si>
    <r>
      <rPr>
        <b/>
        <sz val="10"/>
        <color rgb="FF000000"/>
        <rFont val="Arial"/>
        <family val="2"/>
        <scheme val="minor"/>
      </rPr>
      <t>Detailed air break down?</t>
    </r>
    <r>
      <rPr>
        <sz val="10"/>
        <color rgb="FF000000"/>
        <rFont val="Arial"/>
        <family val="2"/>
        <scheme val="minor"/>
      </rPr>
      <t xml:space="preserve"> (yes or no)</t>
    </r>
  </si>
  <si>
    <r>
      <rPr>
        <b/>
        <sz val="10"/>
        <color rgb="FF000000"/>
        <rFont val="Arial"/>
        <family val="2"/>
        <scheme val="minor"/>
      </rPr>
      <t>Detailed hotel break down?</t>
    </r>
    <r>
      <rPr>
        <sz val="10"/>
        <color rgb="FF000000"/>
        <rFont val="Arial"/>
        <family val="2"/>
        <scheme val="minor"/>
      </rPr>
      <t xml:space="preserve"> (yes or no)</t>
    </r>
  </si>
  <si>
    <t>How do you book hotels with agreement?</t>
  </si>
  <si>
    <t>How do you book hotels with no agreement?</t>
  </si>
  <si>
    <t>Tons of CO2 reduced</t>
  </si>
  <si>
    <t>5.1 Air bookings</t>
  </si>
  <si>
    <t>Offline air bookings via TMC</t>
  </si>
  <si>
    <t>Online air bookings via TMC</t>
  </si>
  <si>
    <t>Online hotel bookings via TMC</t>
  </si>
  <si>
    <t>Offline hotels bookings via TMC</t>
  </si>
  <si>
    <t>Volume Air</t>
  </si>
  <si>
    <t>Lower hotel rates via our special rates</t>
  </si>
  <si>
    <t>Better rates / more fares options</t>
  </si>
  <si>
    <t>Hotel - negotiated rates</t>
  </si>
  <si>
    <t>Hotel - non-negotiated rates</t>
  </si>
  <si>
    <t>Hotel commission from non-negotiated hotels</t>
  </si>
  <si>
    <t>CO2 reduction potential (from behavioural changes, and SAF by Goodwings)</t>
  </si>
  <si>
    <t>Total number of CO2 in tons reduced from SAF, paid by Goodwings:</t>
  </si>
  <si>
    <t>* Do not enter data on this page *</t>
  </si>
  <si>
    <t>Cost avoidance from biobased jet fuel paid by Goodwings and CO2 reductions from behavioural changes</t>
  </si>
  <si>
    <t>TravelPerk</t>
  </si>
  <si>
    <t>DKK</t>
  </si>
  <si>
    <t>SEK</t>
  </si>
  <si>
    <t>NOK</t>
  </si>
  <si>
    <t>USD</t>
  </si>
  <si>
    <t>GBP</t>
  </si>
  <si>
    <t>Please select your choice of currency?</t>
  </si>
  <si>
    <t>Yes</t>
  </si>
  <si>
    <t>No</t>
  </si>
  <si>
    <t>-</t>
  </si>
  <si>
    <t>Radio button value</t>
  </si>
  <si>
    <t>Do you have an existing travel management system? (*)</t>
  </si>
  <si>
    <t xml:space="preserve">(*) </t>
  </si>
  <si>
    <t>Do you normally book via a Travel Agency/TMC and maybe use their booking tool - Please select: "Yes"</t>
  </si>
  <si>
    <t xml:space="preserve">If you sometimes use an agency/TMC and somtimes make direct bookings with air, hotel, rail, and car hire companies - Please select: "Yes" </t>
  </si>
  <si>
    <t>If you book directly with air, hotel, rail and car hire companies - Please select: "No"</t>
  </si>
  <si>
    <t xml:space="preserve">      (Click field and select from drop down menu)</t>
  </si>
  <si>
    <t>% check = 100</t>
  </si>
  <si>
    <t>Hvis og:</t>
  </si>
  <si>
    <t>% = 100 test</t>
  </si>
  <si>
    <t>Number of office locations (Minimum "1")</t>
  </si>
  <si>
    <t>Spend check - Must be more than 0</t>
  </si>
  <si>
    <t>Travel</t>
  </si>
  <si>
    <t>Internal hour cost</t>
  </si>
  <si>
    <t>Hour/Cost</t>
  </si>
  <si>
    <t>Hours/day:</t>
  </si>
  <si>
    <t>Cost/hour</t>
  </si>
  <si>
    <t>Hotel bookings</t>
  </si>
  <si>
    <t>Number of countries (TMC Point of Sales)</t>
  </si>
  <si>
    <t>TMC location check with "NO TMC solution"</t>
  </si>
  <si>
    <t>(or overwrite below)</t>
  </si>
  <si>
    <t>Amount here</t>
  </si>
  <si>
    <t>Total:</t>
  </si>
  <si>
    <t>Or % here</t>
  </si>
  <si>
    <t>Overall Amount</t>
  </si>
  <si>
    <t>Detailed</t>
  </si>
  <si>
    <t>Average cost/trip</t>
  </si>
  <si>
    <t>General average</t>
  </si>
  <si>
    <t>Yes/No check i felt G62</t>
  </si>
  <si>
    <t>Basic Booking Info</t>
  </si>
  <si>
    <t>"No air and hotel Break down"</t>
  </si>
  <si>
    <t>BD used</t>
  </si>
  <si>
    <t>Summary</t>
  </si>
  <si>
    <t>Hotels with agreement</t>
  </si>
  <si>
    <t>Hotels without agreement</t>
  </si>
  <si>
    <t>Airline</t>
  </si>
  <si>
    <t>Subtotal</t>
  </si>
  <si>
    <t>Break down</t>
  </si>
  <si>
    <t>model total</t>
  </si>
  <si>
    <t>Break Down Model used</t>
  </si>
  <si>
    <t>Basic Model used</t>
  </si>
  <si>
    <t>Hotel bookings - All</t>
  </si>
  <si>
    <t>Air bookings - All</t>
  </si>
  <si>
    <t>Estimated online</t>
  </si>
  <si>
    <t>ratio in %</t>
  </si>
  <si>
    <t>TMC</t>
  </si>
  <si>
    <t>OBT</t>
  </si>
  <si>
    <t>Fees</t>
  </si>
  <si>
    <t>TravelPerk/Navan</t>
  </si>
  <si>
    <t>Use Air break down:</t>
  </si>
  <si>
    <t>Use hotel break down:</t>
  </si>
  <si>
    <t>Online adoption %</t>
  </si>
  <si>
    <t>Current fees for air bookings</t>
  </si>
  <si>
    <t>Potential savings (Offline to online)</t>
  </si>
  <si>
    <t>Reduced fee</t>
  </si>
  <si>
    <t>Saving in offline fee</t>
  </si>
  <si>
    <t>New online Cost</t>
  </si>
  <si>
    <t>Reduced no. Offline bookings</t>
  </si>
  <si>
    <t>No TMC</t>
  </si>
  <si>
    <t>Net saving</t>
  </si>
  <si>
    <t>Don't change</t>
  </si>
  <si>
    <t>Please enter potential online adoption (in %)</t>
  </si>
  <si>
    <t>Saving is less offline fees based on better online aboption</t>
  </si>
  <si>
    <t>Changed bookings</t>
  </si>
  <si>
    <t>Total booked</t>
  </si>
  <si>
    <t>Please enter the expected number of bookings to be changed by user online (in %)</t>
  </si>
  <si>
    <t>Please enter the expected number of bookings normally changed before or during trip (in %)</t>
  </si>
  <si>
    <t>flyt væk</t>
  </si>
  <si>
    <t>Online via TMC</t>
  </si>
  <si>
    <t>TMC online - Traditional</t>
  </si>
  <si>
    <t>TMC online - 3rd generation tool</t>
  </si>
  <si>
    <t>With agreements</t>
  </si>
  <si>
    <t>Total number of hotel bookings directly with hotel website</t>
  </si>
  <si>
    <t>Without agreement</t>
  </si>
  <si>
    <t>TMC system selection</t>
  </si>
  <si>
    <t>yes = 1, No = 9</t>
  </si>
  <si>
    <t>Total number bookings - Hotel Break down used:</t>
  </si>
  <si>
    <t>Check - Total number of hotel bookings used further down</t>
  </si>
  <si>
    <t>in %</t>
  </si>
  <si>
    <t>Direct with hotels</t>
  </si>
  <si>
    <t>Totals</t>
  </si>
  <si>
    <t>Number</t>
  </si>
  <si>
    <t>Goodwings</t>
  </si>
  <si>
    <t>Current estimated</t>
  </si>
  <si>
    <t>Diff. In fees w. higher ol adp</t>
  </si>
  <si>
    <t>Kan slettes</t>
  </si>
  <si>
    <t>ESG</t>
  </si>
  <si>
    <t>CO2</t>
  </si>
  <si>
    <t>SAF</t>
  </si>
  <si>
    <t>FTE</t>
  </si>
  <si>
    <t>5.3 Hotel bookings</t>
  </si>
  <si>
    <t xml:space="preserve">External ESG advisor cost avoidance: </t>
  </si>
  <si>
    <t>Average cost (*)</t>
  </si>
  <si>
    <t xml:space="preserve">      (*)</t>
  </si>
  <si>
    <t>YES</t>
  </si>
  <si>
    <t>NO</t>
  </si>
  <si>
    <t>Do you wish to include this senction in the report</t>
  </si>
  <si>
    <t>Other emissions (Estimate for Rail/Rental car)</t>
  </si>
  <si>
    <t>Savings potential - Time spent on bookings</t>
  </si>
  <si>
    <t>New fees estimate</t>
  </si>
  <si>
    <t>Current change fees - Self service</t>
  </si>
  <si>
    <t>5.2 Air tickets - Change</t>
  </si>
  <si>
    <t>5.4 Hotel bookings</t>
  </si>
  <si>
    <t>4.1</t>
  </si>
  <si>
    <t>(4.1) Savings from less time spent booking and managing travel:</t>
  </si>
  <si>
    <t>(5.1) Savings from more online bookings (fewer offline bookings with higher fees):</t>
  </si>
  <si>
    <t>Changes of tickets after</t>
  </si>
  <si>
    <t>ticket has been issued</t>
  </si>
  <si>
    <t>7.1</t>
  </si>
  <si>
    <t>(7.1) Total savings on ESG reporting:</t>
  </si>
  <si>
    <t>(8.2) Total SAF savings:</t>
  </si>
  <si>
    <t>(8.1) Total number of CO2 tons reduced:</t>
  </si>
  <si>
    <t>(6.2) Lower hotel rates - leveraging corporate rates:</t>
  </si>
  <si>
    <t>(6.1) Lower airfares - better content (GDS, NDC, LCC):</t>
  </si>
  <si>
    <t>(5.2) Savings from less TMC change fees:</t>
  </si>
  <si>
    <t>(5.3) Savings from lower online and offline booking fees:</t>
  </si>
  <si>
    <t>(5.4) Savings from lower online and offline booking fees:</t>
  </si>
  <si>
    <t>Currency selected:</t>
  </si>
  <si>
    <t>Tons</t>
  </si>
  <si>
    <t xml:space="preserve"> ton CO2 requires</t>
  </si>
  <si>
    <t>Ton SAF</t>
  </si>
  <si>
    <t>The SAF is certified according to the certification system of the European Commission (ISCC EU) and the RED, and the process has been approved by TÜV Nord. </t>
  </si>
  <si>
    <t>One Ton CO2</t>
  </si>
  <si>
    <t xml:space="preserve"> =</t>
  </si>
  <si>
    <t>T/SAF</t>
  </si>
  <si>
    <t>Average cost SAF/1 Ton CO2:</t>
  </si>
  <si>
    <t>Cost per ton of SAF (Sep23)</t>
  </si>
  <si>
    <t>(*) Cost per ton reduced CO2 via SAF</t>
  </si>
  <si>
    <t>(*) One ton of CO₂ emission mitigation corresponds to 0.334 tons of SAF) will be exclusively allocated to SQUAKE on behalf of your contribution.</t>
  </si>
  <si>
    <t>Cost of SAF per 1 ton CO2 reduced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</si>
</sst>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00"/>
    <numFmt numFmtId="166" formatCode="0.0%"/>
    <numFmt numFmtId="167" formatCode="0.0"/>
    <numFmt numFmtId="168" formatCode="_-* #,##0.0_-;\-* #,##0.0_-;_-* &quot;-&quot;??_-;_-@_-"/>
  </numFmts>
  <fonts count="43">
    <font>
      <sz val="10"/>
      <color rgb="FF000000"/>
      <name val="Arial"/>
      <scheme val="minor"/>
    </font>
    <font>
      <sz val="10"/>
      <color theme="1"/>
      <name val="Arial"/>
      <family val="2"/>
      <scheme val="minor"/>
    </font>
    <font>
      <b/>
      <sz val="10"/>
      <color theme="1"/>
      <name val="Arial"/>
      <family val="2"/>
      <scheme val="minor"/>
    </font>
    <font>
      <i/>
      <sz val="10"/>
      <color theme="1"/>
      <name val="Arial"/>
      <family val="2"/>
      <scheme val="minor"/>
    </font>
    <font>
      <b/>
      <u/>
      <sz val="10"/>
      <color theme="1"/>
      <name val="Arial"/>
      <family val="2"/>
      <scheme val="minor"/>
    </font>
    <font>
      <b/>
      <u/>
      <sz val="10"/>
      <color theme="1"/>
      <name val="Arial"/>
      <family val="2"/>
      <scheme val="minor"/>
    </font>
    <font>
      <u/>
      <sz val="10"/>
      <color rgb="FF222222"/>
      <name val="Arial"/>
      <family val="2"/>
    </font>
    <font>
      <sz val="10"/>
      <color rgb="FF000000"/>
      <name val="Arial"/>
      <family val="2"/>
      <scheme val="minor"/>
    </font>
    <font>
      <sz val="8"/>
      <color rgb="FF000000"/>
      <name val="Arial"/>
      <family val="2"/>
      <scheme val="minor"/>
    </font>
    <font>
      <sz val="10"/>
      <color rgb="FF000000"/>
      <name val="Arial"/>
      <family val="2"/>
      <scheme val="minor"/>
    </font>
    <font>
      <i/>
      <sz val="10"/>
      <color theme="1"/>
      <name val="Arial"/>
      <family val="2"/>
      <scheme val="minor"/>
    </font>
    <font>
      <sz val="10"/>
      <color theme="1"/>
      <name val="Arial"/>
      <family val="2"/>
      <scheme val="minor"/>
    </font>
    <font>
      <b/>
      <sz val="10"/>
      <color rgb="FF000000"/>
      <name val="Arial"/>
      <family val="2"/>
      <scheme val="minor"/>
    </font>
    <font>
      <sz val="10"/>
      <color rgb="FFFF0000"/>
      <name val="Arial"/>
      <family val="2"/>
      <scheme val="minor"/>
    </font>
    <font>
      <sz val="16"/>
      <color rgb="FF000000"/>
      <name val="Arial"/>
      <family val="2"/>
      <scheme val="minor"/>
    </font>
    <font>
      <b/>
      <sz val="12"/>
      <color rgb="FF000000"/>
      <name val="Arial"/>
      <family val="2"/>
      <scheme val="minor"/>
    </font>
    <font>
      <sz val="10"/>
      <color rgb="FF000000"/>
      <name val="Arial"/>
      <family val="2"/>
      <scheme val="minor"/>
    </font>
    <font>
      <b/>
      <sz val="14"/>
      <color rgb="FF000000"/>
      <name val="Arial"/>
      <family val="2"/>
      <scheme val="minor"/>
    </font>
    <font>
      <i/>
      <sz val="10"/>
      <color rgb="FF000000"/>
      <name val="Arial"/>
      <family val="2"/>
      <scheme val="minor"/>
    </font>
    <font>
      <i/>
      <sz val="8"/>
      <color rgb="FF000000"/>
      <name val="Arial"/>
      <family val="2"/>
      <scheme val="minor"/>
    </font>
    <font>
      <sz val="14"/>
      <color theme="4" tint="-0.249977111117893"/>
      <name val="Arial"/>
      <family val="2"/>
      <scheme val="minor"/>
    </font>
    <font>
      <u/>
      <sz val="10"/>
      <color theme="10"/>
      <name val="Arial"/>
      <family val="2"/>
      <scheme val="minor"/>
    </font>
    <font>
      <b/>
      <sz val="22"/>
      <color theme="1"/>
      <name val="Arial (Body)"/>
    </font>
    <font>
      <sz val="14"/>
      <color rgb="FF000000"/>
      <name val="Arial"/>
      <family val="2"/>
      <scheme val="minor"/>
    </font>
    <font>
      <sz val="10"/>
      <color theme="0"/>
      <name val="Arial"/>
      <family val="2"/>
      <scheme val="minor"/>
    </font>
    <font>
      <b/>
      <sz val="10"/>
      <color theme="0"/>
      <name val="Arial"/>
      <family val="2"/>
      <scheme val="minor"/>
    </font>
    <font>
      <b/>
      <sz val="8"/>
      <color rgb="FF000000"/>
      <name val="Arial"/>
      <family val="2"/>
      <scheme val="minor"/>
    </font>
    <font>
      <b/>
      <sz val="8"/>
      <color rgb="FFFF0000"/>
      <name val="Arial"/>
      <family val="2"/>
      <scheme val="minor"/>
    </font>
    <font>
      <b/>
      <sz val="9"/>
      <color rgb="FF000000"/>
      <name val="Arial"/>
      <family val="2"/>
      <scheme val="minor"/>
    </font>
    <font>
      <sz val="10"/>
      <name val="Arial"/>
      <family val="2"/>
      <scheme val="minor"/>
    </font>
    <font>
      <b/>
      <sz val="10"/>
      <color rgb="FFFF0000"/>
      <name val="Arial"/>
      <family val="2"/>
      <scheme val="minor"/>
    </font>
    <font>
      <sz val="10"/>
      <color theme="5"/>
      <name val="Arial"/>
      <family val="2"/>
      <scheme val="minor"/>
    </font>
    <font>
      <sz val="10"/>
      <color theme="5" tint="-0.249977111117893"/>
      <name val="Arial"/>
      <family val="2"/>
      <scheme val="minor"/>
    </font>
    <font>
      <b/>
      <sz val="9"/>
      <color theme="7"/>
      <name val="Arial"/>
      <family val="2"/>
      <scheme val="minor"/>
    </font>
    <font>
      <b/>
      <sz val="9"/>
      <color theme="5" tint="-0.249977111117893"/>
      <name val="Arial"/>
      <family val="2"/>
      <scheme val="minor"/>
    </font>
    <font>
      <sz val="8"/>
      <color rgb="FF000000"/>
      <name val="Segoe UI"/>
      <family val="2"/>
    </font>
    <font>
      <b/>
      <sz val="10"/>
      <color theme="3"/>
      <name val="Arial"/>
      <family val="2"/>
      <scheme val="minor"/>
    </font>
    <font>
      <sz val="10"/>
      <color rgb="FFC00000"/>
      <name val="Arial"/>
      <family val="2"/>
      <scheme val="minor"/>
    </font>
    <font>
      <b/>
      <sz val="10"/>
      <color rgb="FFC00000"/>
      <name val="Arial"/>
      <family val="2"/>
      <scheme val="minor"/>
    </font>
    <font>
      <b/>
      <i/>
      <sz val="10"/>
      <color rgb="FF000000"/>
      <name val="Arial"/>
      <family val="2"/>
      <scheme val="minor"/>
    </font>
    <font>
      <b/>
      <sz val="10"/>
      <color theme="5" tint="-0.249977111117893"/>
      <name val="Arial"/>
      <family val="2"/>
      <scheme val="minor"/>
    </font>
    <font>
      <b/>
      <sz val="10"/>
      <color theme="4" tint="-0.499984740745262"/>
      <name val="Arial"/>
      <family val="2"/>
      <scheme val="minor"/>
    </font>
    <font>
      <sz val="10"/>
      <color rgb="FF111827"/>
      <name val="Arial"/>
      <family val="2"/>
      <scheme val="minor"/>
    </font>
  </fonts>
  <fills count="32">
    <fill>
      <patternFill patternType="none"/>
    </fill>
    <fill>
      <patternFill patternType="gray125"/>
    </fill>
    <fill>
      <patternFill patternType="solid">
        <fgColor rgb="FF00FF00"/>
        <bgColor rgb="FF00FF00"/>
      </patternFill>
    </fill>
    <fill>
      <patternFill patternType="solid">
        <fgColor rgb="FFFF00FF"/>
        <bgColor rgb="FFFF00FF"/>
      </patternFill>
    </fill>
    <fill>
      <patternFill patternType="solid">
        <fgColor theme="4" tint="0.79998168889431442"/>
        <bgColor indexed="64"/>
      </patternFill>
    </fill>
    <fill>
      <patternFill patternType="solid">
        <fgColor rgb="FFFF00FF"/>
        <bgColor indexed="64"/>
      </patternFill>
    </fill>
    <fill>
      <patternFill patternType="solid">
        <fgColor theme="7" tint="0.39997558519241921"/>
        <bgColor indexed="64"/>
      </patternFill>
    </fill>
    <fill>
      <patternFill patternType="solid">
        <fgColor theme="4" tint="0.79998168889431442"/>
        <bgColor rgb="FFFF00FF"/>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66FF33"/>
        <bgColor indexed="64"/>
      </patternFill>
    </fill>
    <fill>
      <patternFill patternType="solid">
        <fgColor rgb="FFFFBDF7"/>
        <bgColor rgb="FF00FF00"/>
      </patternFill>
    </fill>
    <fill>
      <patternFill patternType="solid">
        <fgColor rgb="FFFFBDF7"/>
        <bgColor indexed="64"/>
      </patternFill>
    </fill>
    <fill>
      <patternFill patternType="solid">
        <fgColor theme="1"/>
        <bgColor indexed="64"/>
      </patternFill>
    </fill>
    <fill>
      <patternFill patternType="solid">
        <fgColor theme="0" tint="-4.9989318521683403E-2"/>
        <bgColor indexed="64"/>
      </patternFill>
    </fill>
    <fill>
      <patternFill patternType="solid">
        <fgColor theme="2" tint="-4.9989318521683403E-2"/>
        <bgColor indexed="64"/>
      </patternFill>
    </fill>
    <fill>
      <patternFill patternType="solid">
        <fgColor rgb="FF66FF33"/>
        <bgColor rgb="FF00FF00"/>
      </patternFill>
    </fill>
    <fill>
      <patternFill patternType="solid">
        <fgColor theme="0"/>
        <bgColor indexed="64"/>
      </patternFill>
    </fill>
    <fill>
      <patternFill patternType="solid">
        <fgColor rgb="FF2FAB7B"/>
        <bgColor indexed="64"/>
      </patternFill>
    </fill>
    <fill>
      <patternFill patternType="solid">
        <fgColor rgb="FFFADC45"/>
        <bgColor indexed="64"/>
      </patternFill>
    </fill>
    <fill>
      <patternFill patternType="solid">
        <fgColor theme="0"/>
        <bgColor rgb="FFFF00FF"/>
      </patternFill>
    </fill>
    <fill>
      <patternFill patternType="solid">
        <fgColor rgb="FF66FF32"/>
        <bgColor rgb="FF00FF00"/>
      </patternFill>
    </fill>
    <fill>
      <patternFill patternType="solid">
        <fgColor rgb="FFDAE7FF"/>
        <bgColor indexed="64"/>
      </patternFill>
    </fill>
    <fill>
      <patternFill patternType="solid">
        <fgColor rgb="FF66FF32"/>
        <bgColor indexed="64"/>
      </patternFill>
    </fill>
    <fill>
      <patternFill patternType="solid">
        <fgColor theme="0"/>
        <bgColor rgb="FF000000"/>
      </patternFill>
    </fill>
    <fill>
      <patternFill patternType="solid">
        <fgColor theme="0"/>
        <bgColor rgb="FFFFFFFF"/>
      </patternFill>
    </fill>
    <fill>
      <patternFill patternType="solid">
        <fgColor theme="7" tint="0.79998168889431442"/>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BDF7"/>
        <bgColor rgb="FFFF00FF"/>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style="thin">
        <color auto="1"/>
      </bottom>
      <diagonal/>
    </border>
  </borders>
  <cellStyleXfs count="4">
    <xf numFmtId="0" fontId="0" fillId="0" borderId="0"/>
    <xf numFmtId="43" fontId="7" fillId="0" borderId="0" applyFont="0" applyFill="0" applyBorder="0" applyAlignment="0" applyProtection="0"/>
    <xf numFmtId="9" fontId="16" fillId="0" borderId="0" applyFont="0" applyFill="0" applyBorder="0" applyAlignment="0" applyProtection="0"/>
    <xf numFmtId="0" fontId="21" fillId="0" borderId="0" applyNumberFormat="0" applyFill="0" applyBorder="0" applyAlignment="0" applyProtection="0"/>
  </cellStyleXfs>
  <cellXfs count="250">
    <xf numFmtId="0" fontId="0" fillId="0" borderId="0" xfId="0"/>
    <xf numFmtId="0" fontId="0" fillId="0" borderId="0" xfId="0" applyAlignment="1">
      <alignment horizontal="right"/>
    </xf>
    <xf numFmtId="164" fontId="0" fillId="0" borderId="0" xfId="1" applyNumberFormat="1" applyFont="1"/>
    <xf numFmtId="164" fontId="0" fillId="0" borderId="0" xfId="0" applyNumberFormat="1"/>
    <xf numFmtId="164" fontId="0" fillId="4" borderId="0" xfId="0" applyNumberFormat="1" applyFill="1"/>
    <xf numFmtId="164" fontId="0" fillId="4" borderId="0" xfId="1" applyNumberFormat="1" applyFont="1" applyFill="1"/>
    <xf numFmtId="164" fontId="0" fillId="4" borderId="1" xfId="0" applyNumberFormat="1" applyFill="1" applyBorder="1"/>
    <xf numFmtId="164" fontId="0" fillId="4" borderId="1" xfId="1" applyNumberFormat="1" applyFont="1" applyFill="1" applyBorder="1"/>
    <xf numFmtId="0" fontId="0" fillId="4" borderId="1" xfId="0" applyFill="1" applyBorder="1"/>
    <xf numFmtId="0" fontId="8" fillId="0" borderId="0" xfId="0" applyFont="1"/>
    <xf numFmtId="0" fontId="1" fillId="3" borderId="1" xfId="0" applyFont="1" applyFill="1" applyBorder="1"/>
    <xf numFmtId="0" fontId="9" fillId="0" borderId="0" xfId="0" applyFont="1"/>
    <xf numFmtId="0" fontId="9" fillId="0" borderId="0" xfId="0" applyFont="1" applyAlignment="1">
      <alignment horizontal="right"/>
    </xf>
    <xf numFmtId="0" fontId="1" fillId="3" borderId="1" xfId="0" applyFont="1" applyFill="1" applyBorder="1" applyAlignment="1">
      <alignment horizontal="right"/>
    </xf>
    <xf numFmtId="0" fontId="0" fillId="5" borderId="0" xfId="0" applyFill="1"/>
    <xf numFmtId="0" fontId="0" fillId="5" borderId="1" xfId="0" applyFill="1" applyBorder="1"/>
    <xf numFmtId="0" fontId="0" fillId="5" borderId="1" xfId="0" applyFill="1" applyBorder="1" applyAlignment="1">
      <alignment horizontal="center"/>
    </xf>
    <xf numFmtId="0" fontId="0" fillId="6" borderId="0" xfId="0" applyFill="1"/>
    <xf numFmtId="0" fontId="1" fillId="7" borderId="1" xfId="0" applyFont="1" applyFill="1" applyBorder="1"/>
    <xf numFmtId="0" fontId="1" fillId="7" borderId="1" xfId="0" applyFont="1" applyFill="1" applyBorder="1" applyAlignment="1">
      <alignment horizontal="right"/>
    </xf>
    <xf numFmtId="0" fontId="9" fillId="8" borderId="0" xfId="0" applyFont="1" applyFill="1"/>
    <xf numFmtId="0" fontId="0" fillId="8" borderId="0" xfId="0" applyFill="1"/>
    <xf numFmtId="0" fontId="12" fillId="0" borderId="0" xfId="0" applyFont="1" applyAlignment="1">
      <alignment horizontal="right"/>
    </xf>
    <xf numFmtId="0" fontId="12" fillId="0" borderId="0" xfId="0" applyFont="1"/>
    <xf numFmtId="164" fontId="0" fillId="0" borderId="0" xfId="1" applyNumberFormat="1" applyFont="1" applyAlignment="1">
      <alignment horizontal="right"/>
    </xf>
    <xf numFmtId="164" fontId="0" fillId="4" borderId="1" xfId="1" applyNumberFormat="1" applyFont="1" applyFill="1" applyBorder="1" applyAlignment="1">
      <alignment horizontal="right"/>
    </xf>
    <xf numFmtId="164" fontId="0" fillId="4" borderId="1" xfId="1" applyNumberFormat="1" applyFont="1" applyFill="1" applyBorder="1" applyAlignment="1"/>
    <xf numFmtId="0" fontId="9" fillId="0" borderId="2" xfId="0" applyFont="1" applyBorder="1"/>
    <xf numFmtId="0" fontId="0" fillId="0" borderId="2" xfId="0" applyBorder="1"/>
    <xf numFmtId="164" fontId="0" fillId="0" borderId="2" xfId="1" applyNumberFormat="1" applyFont="1" applyBorder="1"/>
    <xf numFmtId="0" fontId="9" fillId="4" borderId="1" xfId="0" applyFont="1" applyFill="1" applyBorder="1" applyAlignment="1">
      <alignment horizontal="center"/>
    </xf>
    <xf numFmtId="0" fontId="13" fillId="0" borderId="0" xfId="0" applyFont="1"/>
    <xf numFmtId="164" fontId="0" fillId="8" borderId="0" xfId="1" applyNumberFormat="1" applyFont="1" applyFill="1"/>
    <xf numFmtId="164" fontId="12" fillId="0" borderId="0" xfId="1" applyNumberFormat="1" applyFont="1"/>
    <xf numFmtId="164" fontId="12" fillId="0" borderId="0" xfId="1" applyNumberFormat="1" applyFont="1" applyAlignment="1">
      <alignment horizontal="right"/>
    </xf>
    <xf numFmtId="164" fontId="9" fillId="0" borderId="0" xfId="1" applyNumberFormat="1" applyFont="1"/>
    <xf numFmtId="164" fontId="9" fillId="4" borderId="1" xfId="0" applyNumberFormat="1" applyFont="1" applyFill="1" applyBorder="1" applyAlignment="1">
      <alignment horizontal="right"/>
    </xf>
    <xf numFmtId="164" fontId="0" fillId="5" borderId="0" xfId="1" applyNumberFormat="1" applyFont="1" applyFill="1"/>
    <xf numFmtId="0" fontId="14" fillId="9" borderId="0" xfId="0" applyFont="1" applyFill="1"/>
    <xf numFmtId="0" fontId="0" fillId="9" borderId="0" xfId="0" applyFill="1"/>
    <xf numFmtId="164" fontId="0" fillId="9" borderId="0" xfId="1" applyNumberFormat="1" applyFont="1" applyFill="1"/>
    <xf numFmtId="0" fontId="0" fillId="10" borderId="0" xfId="0" applyFill="1"/>
    <xf numFmtId="164" fontId="0" fillId="4" borderId="2" xfId="0" applyNumberFormat="1" applyFill="1" applyBorder="1"/>
    <xf numFmtId="164" fontId="0" fillId="5" borderId="1" xfId="1" applyNumberFormat="1" applyFont="1" applyFill="1" applyBorder="1"/>
    <xf numFmtId="164" fontId="13" fillId="4" borderId="1" xfId="0" applyNumberFormat="1" applyFont="1" applyFill="1" applyBorder="1"/>
    <xf numFmtId="164" fontId="0" fillId="0" borderId="1" xfId="1" applyNumberFormat="1" applyFont="1" applyFill="1" applyBorder="1"/>
    <xf numFmtId="164" fontId="0" fillId="0" borderId="0" xfId="1" applyNumberFormat="1" applyFont="1" applyFill="1"/>
    <xf numFmtId="0" fontId="9" fillId="4" borderId="0" xfId="0" applyFont="1" applyFill="1"/>
    <xf numFmtId="0" fontId="0" fillId="13" borderId="1" xfId="0" applyFill="1" applyBorder="1" applyAlignment="1">
      <alignment horizontal="center"/>
    </xf>
    <xf numFmtId="0" fontId="12" fillId="0" borderId="4" xfId="0" applyFont="1" applyBorder="1"/>
    <xf numFmtId="164" fontId="12" fillId="0" borderId="4" xfId="0" applyNumberFormat="1" applyFont="1" applyBorder="1"/>
    <xf numFmtId="0" fontId="7" fillId="0" borderId="0" xfId="0" applyFont="1"/>
    <xf numFmtId="0" fontId="0" fillId="14" borderId="0" xfId="0" applyFill="1"/>
    <xf numFmtId="0" fontId="0" fillId="14" borderId="0" xfId="0" applyFill="1" applyAlignment="1">
      <alignment horizontal="right"/>
    </xf>
    <xf numFmtId="164" fontId="0" fillId="14" borderId="0" xfId="0" applyNumberFormat="1" applyFill="1"/>
    <xf numFmtId="0" fontId="7" fillId="15" borderId="0" xfId="0" applyFont="1" applyFill="1"/>
    <xf numFmtId="0" fontId="0" fillId="15" borderId="0" xfId="0" applyFill="1"/>
    <xf numFmtId="0" fontId="0" fillId="15" borderId="7" xfId="0" applyFill="1" applyBorder="1"/>
    <xf numFmtId="0" fontId="0" fillId="15" borderId="8" xfId="0" applyFill="1" applyBorder="1"/>
    <xf numFmtId="0" fontId="0" fillId="15" borderId="9" xfId="0" applyFill="1" applyBorder="1"/>
    <xf numFmtId="0" fontId="0" fillId="15" borderId="6" xfId="0" applyFill="1" applyBorder="1"/>
    <xf numFmtId="0" fontId="0" fillId="15" borderId="5" xfId="0" applyFill="1" applyBorder="1"/>
    <xf numFmtId="0" fontId="0" fillId="15" borderId="10" xfId="0" applyFill="1" applyBorder="1"/>
    <xf numFmtId="0" fontId="0" fillId="15" borderId="11" xfId="0" applyFill="1" applyBorder="1"/>
    <xf numFmtId="0" fontId="0" fillId="16" borderId="2" xfId="0" applyFill="1" applyBorder="1"/>
    <xf numFmtId="0" fontId="7" fillId="0" borderId="0" xfId="0" applyFont="1" applyAlignment="1">
      <alignment horizontal="left"/>
    </xf>
    <xf numFmtId="0" fontId="7" fillId="0" borderId="2" xfId="0" applyFont="1" applyBorder="1" applyAlignment="1">
      <alignment horizontal="left"/>
    </xf>
    <xf numFmtId="0" fontId="12" fillId="0" borderId="0" xfId="0" applyFont="1" applyAlignment="1">
      <alignment horizontal="left"/>
    </xf>
    <xf numFmtId="0" fontId="7" fillId="0" borderId="2" xfId="0" applyFont="1" applyBorder="1"/>
    <xf numFmtId="0" fontId="20" fillId="0" borderId="0" xfId="0" applyFont="1"/>
    <xf numFmtId="0" fontId="0" fillId="15" borderId="4" xfId="0" applyFill="1" applyBorder="1"/>
    <xf numFmtId="164" fontId="12" fillId="15" borderId="4" xfId="1" applyNumberFormat="1" applyFont="1" applyFill="1" applyBorder="1" applyAlignment="1">
      <alignment horizontal="right"/>
    </xf>
    <xf numFmtId="0" fontId="0" fillId="18" borderId="0" xfId="0" applyFill="1"/>
    <xf numFmtId="0" fontId="17" fillId="18" borderId="0" xfId="0" applyFont="1" applyFill="1"/>
    <xf numFmtId="0" fontId="12" fillId="18" borderId="0" xfId="0" applyFont="1" applyFill="1"/>
    <xf numFmtId="0" fontId="7" fillId="18" borderId="0" xfId="0" applyFont="1" applyFill="1"/>
    <xf numFmtId="0" fontId="21" fillId="18" borderId="0" xfId="3" applyFill="1" applyBorder="1"/>
    <xf numFmtId="0" fontId="22" fillId="15" borderId="0" xfId="0" applyFont="1" applyFill="1" applyAlignment="1">
      <alignment horizontal="right"/>
    </xf>
    <xf numFmtId="0" fontId="23" fillId="19" borderId="6" xfId="0" applyFont="1" applyFill="1" applyBorder="1"/>
    <xf numFmtId="0" fontId="14" fillId="19" borderId="0" xfId="0" applyFont="1" applyFill="1"/>
    <xf numFmtId="0" fontId="0" fillId="19" borderId="0" xfId="0" applyFill="1"/>
    <xf numFmtId="164" fontId="0" fillId="19" borderId="5" xfId="1" applyNumberFormat="1" applyFont="1" applyFill="1" applyBorder="1"/>
    <xf numFmtId="0" fontId="24" fillId="19" borderId="6" xfId="0" applyFont="1" applyFill="1" applyBorder="1"/>
    <xf numFmtId="0" fontId="25" fillId="19" borderId="0" xfId="0" applyFont="1" applyFill="1"/>
    <xf numFmtId="0" fontId="24" fillId="19" borderId="0" xfId="0" applyFont="1" applyFill="1"/>
    <xf numFmtId="0" fontId="24" fillId="19" borderId="5" xfId="0" applyFont="1" applyFill="1" applyBorder="1"/>
    <xf numFmtId="0" fontId="12" fillId="20" borderId="0" xfId="0" applyFont="1" applyFill="1"/>
    <xf numFmtId="0" fontId="0" fillId="20" borderId="0" xfId="0" applyFill="1"/>
    <xf numFmtId="0" fontId="12" fillId="15" borderId="4" xfId="0" applyFont="1" applyFill="1" applyBorder="1"/>
    <xf numFmtId="0" fontId="0" fillId="18" borderId="4" xfId="0" applyFill="1" applyBorder="1"/>
    <xf numFmtId="0" fontId="1" fillId="18" borderId="0" xfId="0" applyFont="1" applyFill="1"/>
    <xf numFmtId="0" fontId="2" fillId="18" borderId="0" xfId="0" applyFont="1" applyFill="1"/>
    <xf numFmtId="0" fontId="13" fillId="15" borderId="0" xfId="0" applyFont="1" applyFill="1"/>
    <xf numFmtId="0" fontId="1" fillId="22" borderId="0" xfId="0" applyFont="1" applyFill="1" applyAlignment="1">
      <alignment horizontal="center"/>
    </xf>
    <xf numFmtId="0" fontId="1" fillId="12" borderId="0" xfId="0" applyFont="1" applyFill="1" applyAlignment="1">
      <alignment horizontal="center"/>
    </xf>
    <xf numFmtId="0" fontId="1" fillId="3" borderId="0" xfId="0" applyFont="1" applyFill="1" applyAlignment="1">
      <alignment horizontal="center"/>
    </xf>
    <xf numFmtId="0" fontId="0" fillId="23" borderId="0" xfId="0" applyFill="1"/>
    <xf numFmtId="0" fontId="0" fillId="18" borderId="0" xfId="0" applyFill="1" applyAlignment="1">
      <alignment horizontal="right"/>
    </xf>
    <xf numFmtId="0" fontId="0" fillId="18" borderId="0" xfId="0" applyFill="1" applyAlignment="1">
      <alignment horizontal="center"/>
    </xf>
    <xf numFmtId="0" fontId="9" fillId="18" borderId="0" xfId="0" applyFont="1" applyFill="1" applyAlignment="1">
      <alignment horizontal="right"/>
    </xf>
    <xf numFmtId="0" fontId="7" fillId="18" borderId="0" xfId="0" applyFont="1" applyFill="1" applyAlignment="1">
      <alignment horizontal="right"/>
    </xf>
    <xf numFmtId="0" fontId="0" fillId="18" borderId="0" xfId="0" applyFill="1" applyAlignment="1">
      <alignment horizontal="left"/>
    </xf>
    <xf numFmtId="164" fontId="0" fillId="18" borderId="0" xfId="1" applyNumberFormat="1" applyFont="1" applyFill="1"/>
    <xf numFmtId="0" fontId="8" fillId="18" borderId="0" xfId="0" applyFont="1" applyFill="1"/>
    <xf numFmtId="164" fontId="0" fillId="18" borderId="1" xfId="0" applyNumberFormat="1" applyFill="1" applyBorder="1"/>
    <xf numFmtId="0" fontId="9" fillId="18" borderId="0" xfId="0" applyFont="1" applyFill="1"/>
    <xf numFmtId="164" fontId="0" fillId="18" borderId="0" xfId="0" applyNumberFormat="1" applyFill="1"/>
    <xf numFmtId="0" fontId="12" fillId="15" borderId="0" xfId="0" applyFont="1" applyFill="1" applyAlignment="1">
      <alignment horizontal="left" vertical="center"/>
    </xf>
    <xf numFmtId="164" fontId="18" fillId="18" borderId="0" xfId="1" applyNumberFormat="1" applyFont="1" applyFill="1" applyAlignment="1">
      <alignment horizontal="center"/>
    </xf>
    <xf numFmtId="164" fontId="0" fillId="4" borderId="12" xfId="0" applyNumberFormat="1" applyFill="1" applyBorder="1"/>
    <xf numFmtId="0" fontId="12" fillId="15" borderId="0" xfId="0" applyFont="1" applyFill="1" applyAlignment="1">
      <alignment vertical="center"/>
    </xf>
    <xf numFmtId="0" fontId="12" fillId="15" borderId="0" xfId="0" applyFont="1" applyFill="1" applyAlignment="1">
      <alignment horizontal="right" vertical="center"/>
    </xf>
    <xf numFmtId="164" fontId="12" fillId="15" borderId="0" xfId="0" applyNumberFormat="1" applyFont="1" applyFill="1" applyAlignment="1">
      <alignment vertical="center"/>
    </xf>
    <xf numFmtId="0" fontId="1" fillId="24" borderId="1" xfId="0" applyFont="1" applyFill="1" applyBorder="1" applyAlignment="1">
      <alignment horizontal="center"/>
    </xf>
    <xf numFmtId="0" fontId="18" fillId="18" borderId="0" xfId="0" applyFont="1" applyFill="1"/>
    <xf numFmtId="0" fontId="7" fillId="18" borderId="0" xfId="0" applyFont="1" applyFill="1" applyAlignment="1">
      <alignment horizontal="center"/>
    </xf>
    <xf numFmtId="0" fontId="18" fillId="18" borderId="0" xfId="0" applyFont="1" applyFill="1" applyAlignment="1">
      <alignment horizontal="center"/>
    </xf>
    <xf numFmtId="1" fontId="0" fillId="18" borderId="0" xfId="0" applyNumberFormat="1" applyFill="1"/>
    <xf numFmtId="0" fontId="10" fillId="18" borderId="0" xfId="0" applyFont="1" applyFill="1"/>
    <xf numFmtId="0" fontId="3" fillId="18" borderId="0" xfId="0" applyFont="1" applyFill="1"/>
    <xf numFmtId="164" fontId="11" fillId="18" borderId="0" xfId="0" applyNumberFormat="1" applyFont="1" applyFill="1"/>
    <xf numFmtId="0" fontId="19" fillId="18" borderId="0" xfId="0" applyFont="1" applyFill="1"/>
    <xf numFmtId="0" fontId="7" fillId="18" borderId="0" xfId="0" applyFont="1" applyFill="1" applyAlignment="1">
      <alignment horizontal="center" vertical="center"/>
    </xf>
    <xf numFmtId="0" fontId="7" fillId="18" borderId="0" xfId="0" applyFont="1" applyFill="1" applyAlignment="1">
      <alignment horizontal="left" vertical="center"/>
    </xf>
    <xf numFmtId="164" fontId="0" fillId="13" borderId="1" xfId="1" applyNumberFormat="1" applyFont="1" applyFill="1" applyBorder="1"/>
    <xf numFmtId="0" fontId="0" fillId="11" borderId="1" xfId="0" applyFill="1" applyBorder="1" applyAlignment="1">
      <alignment horizontal="center"/>
    </xf>
    <xf numFmtId="0" fontId="12" fillId="18" borderId="0" xfId="0" applyFont="1" applyFill="1" applyAlignment="1">
      <alignment horizontal="right"/>
    </xf>
    <xf numFmtId="0" fontId="9" fillId="18" borderId="0" xfId="0" applyFont="1" applyFill="1" applyAlignment="1">
      <alignment horizontal="center"/>
    </xf>
    <xf numFmtId="164" fontId="12" fillId="18" borderId="0" xfId="0" applyNumberFormat="1" applyFont="1" applyFill="1" applyAlignment="1">
      <alignment horizontal="right"/>
    </xf>
    <xf numFmtId="0" fontId="0" fillId="18" borderId="1" xfId="0" applyFill="1" applyBorder="1" applyAlignment="1">
      <alignment horizontal="center"/>
    </xf>
    <xf numFmtId="0" fontId="1" fillId="21" borderId="1" xfId="0" applyFont="1" applyFill="1" applyBorder="1" applyAlignment="1">
      <alignment horizontal="center"/>
    </xf>
    <xf numFmtId="0" fontId="18" fillId="18" borderId="0" xfId="0" applyFont="1" applyFill="1" applyAlignment="1">
      <alignment horizontal="right"/>
    </xf>
    <xf numFmtId="0" fontId="2" fillId="18" borderId="4" xfId="0" applyFont="1" applyFill="1" applyBorder="1"/>
    <xf numFmtId="164" fontId="9" fillId="18" borderId="0" xfId="0" applyNumberFormat="1" applyFont="1" applyFill="1" applyAlignment="1">
      <alignment horizontal="right"/>
    </xf>
    <xf numFmtId="0" fontId="0" fillId="18" borderId="1" xfId="0" applyFill="1" applyBorder="1" applyAlignment="1">
      <alignment horizontal="right"/>
    </xf>
    <xf numFmtId="164" fontId="9" fillId="18" borderId="0" xfId="0" applyNumberFormat="1" applyFont="1" applyFill="1"/>
    <xf numFmtId="0" fontId="0" fillId="18" borderId="2" xfId="0" applyFill="1" applyBorder="1"/>
    <xf numFmtId="164" fontId="12" fillId="18" borderId="0" xfId="0" applyNumberFormat="1" applyFont="1" applyFill="1"/>
    <xf numFmtId="0" fontId="12" fillId="25" borderId="0" xfId="0" applyFont="1" applyFill="1"/>
    <xf numFmtId="164" fontId="12" fillId="15" borderId="4" xfId="0" applyNumberFormat="1" applyFont="1" applyFill="1" applyBorder="1"/>
    <xf numFmtId="164" fontId="0" fillId="4" borderId="3" xfId="0" applyNumberFormat="1" applyFill="1" applyBorder="1"/>
    <xf numFmtId="164" fontId="0" fillId="18" borderId="3" xfId="0" applyNumberFormat="1" applyFill="1" applyBorder="1"/>
    <xf numFmtId="0" fontId="15" fillId="18" borderId="0" xfId="0" applyFont="1" applyFill="1"/>
    <xf numFmtId="164" fontId="0" fillId="18" borderId="0" xfId="1" applyNumberFormat="1" applyFont="1" applyFill="1" applyAlignment="1">
      <alignment horizontal="right"/>
    </xf>
    <xf numFmtId="164" fontId="0" fillId="5" borderId="13" xfId="1" applyNumberFormat="1" applyFont="1" applyFill="1" applyBorder="1"/>
    <xf numFmtId="164" fontId="12" fillId="15" borderId="4" xfId="1" applyNumberFormat="1" applyFont="1" applyFill="1" applyBorder="1"/>
    <xf numFmtId="0" fontId="4" fillId="18" borderId="0" xfId="0" applyFont="1" applyFill="1"/>
    <xf numFmtId="0" fontId="5" fillId="18" borderId="0" xfId="0" applyFont="1" applyFill="1"/>
    <xf numFmtId="0" fontId="6" fillId="26" borderId="0" xfId="0" applyFont="1" applyFill="1"/>
    <xf numFmtId="0" fontId="12" fillId="18" borderId="0" xfId="0" applyFont="1" applyFill="1" applyAlignment="1">
      <alignment horizontal="left" vertical="center"/>
    </xf>
    <xf numFmtId="0" fontId="12" fillId="18" borderId="0" xfId="0" applyFont="1" applyFill="1" applyAlignment="1">
      <alignment vertical="center"/>
    </xf>
    <xf numFmtId="0" fontId="0" fillId="20" borderId="0" xfId="0" applyFill="1" applyAlignment="1">
      <alignment horizontal="right"/>
    </xf>
    <xf numFmtId="0" fontId="7" fillId="10" borderId="0" xfId="0" applyFont="1" applyFill="1"/>
    <xf numFmtId="0" fontId="0" fillId="27" borderId="0" xfId="0" applyFill="1"/>
    <xf numFmtId="0" fontId="12" fillId="27" borderId="0" xfId="0" applyFont="1" applyFill="1" applyAlignment="1">
      <alignment horizontal="left" vertical="center"/>
    </xf>
    <xf numFmtId="0" fontId="7" fillId="27" borderId="0" xfId="0" applyFont="1" applyFill="1"/>
    <xf numFmtId="0" fontId="12" fillId="27" borderId="0" xfId="0" applyFont="1" applyFill="1" applyAlignment="1">
      <alignment vertical="center"/>
    </xf>
    <xf numFmtId="0" fontId="0" fillId="27" borderId="4" xfId="0" applyFill="1" applyBorder="1"/>
    <xf numFmtId="0" fontId="26" fillId="18" borderId="0" xfId="0" applyFont="1" applyFill="1"/>
    <xf numFmtId="165" fontId="0" fillId="10" borderId="0" xfId="0" applyNumberFormat="1" applyFill="1"/>
    <xf numFmtId="0" fontId="27" fillId="0" borderId="0" xfId="0" applyFont="1"/>
    <xf numFmtId="0" fontId="28" fillId="18" borderId="0" xfId="0" applyFont="1" applyFill="1"/>
    <xf numFmtId="0" fontId="0" fillId="11" borderId="1" xfId="0" applyFill="1" applyBorder="1" applyAlignment="1">
      <alignment horizontal="center" vertical="center"/>
    </xf>
    <xf numFmtId="0" fontId="29" fillId="28" borderId="0" xfId="0" applyFont="1" applyFill="1"/>
    <xf numFmtId="0" fontId="0" fillId="28" borderId="0" xfId="0" applyFill="1"/>
    <xf numFmtId="0" fontId="13" fillId="18" borderId="0" xfId="0" applyFont="1" applyFill="1"/>
    <xf numFmtId="0" fontId="13" fillId="29" borderId="0" xfId="0" applyFont="1" applyFill="1"/>
    <xf numFmtId="0" fontId="30" fillId="29" borderId="0" xfId="0" applyFont="1" applyFill="1"/>
    <xf numFmtId="0" fontId="0" fillId="4" borderId="0" xfId="0" applyFill="1"/>
    <xf numFmtId="0" fontId="9" fillId="4" borderId="1" xfId="0" applyFont="1" applyFill="1" applyBorder="1" applyAlignment="1">
      <alignment horizontal="right"/>
    </xf>
    <xf numFmtId="0" fontId="0" fillId="13" borderId="0" xfId="0" applyFill="1" applyAlignment="1">
      <alignment horizontal="center"/>
    </xf>
    <xf numFmtId="0" fontId="0" fillId="29" borderId="0" xfId="0" applyFill="1" applyAlignment="1">
      <alignment horizontal="center"/>
    </xf>
    <xf numFmtId="164" fontId="0" fillId="29" borderId="0" xfId="0" applyNumberFormat="1" applyFill="1"/>
    <xf numFmtId="1" fontId="0" fillId="29" borderId="0" xfId="0" applyNumberFormat="1" applyFill="1" applyAlignment="1">
      <alignment horizontal="center"/>
    </xf>
    <xf numFmtId="164" fontId="7" fillId="18" borderId="0" xfId="1" applyNumberFormat="1" applyFont="1" applyFill="1" applyAlignment="1">
      <alignment horizontal="right"/>
    </xf>
    <xf numFmtId="164" fontId="1" fillId="17" borderId="1" xfId="1" applyNumberFormat="1" applyFont="1" applyFill="1" applyBorder="1" applyAlignment="1">
      <alignment horizontal="right"/>
    </xf>
    <xf numFmtId="0" fontId="0" fillId="4" borderId="0" xfId="0" applyFill="1" applyAlignment="1">
      <alignment horizontal="center"/>
    </xf>
    <xf numFmtId="0" fontId="7" fillId="29" borderId="0" xfId="0" applyFont="1" applyFill="1"/>
    <xf numFmtId="0" fontId="0" fillId="18" borderId="0" xfId="0" applyFill="1" applyAlignment="1">
      <alignment horizontal="center" vertical="center"/>
    </xf>
    <xf numFmtId="0" fontId="1" fillId="2" borderId="0" xfId="0" applyFont="1" applyFill="1" applyAlignment="1">
      <alignment horizontal="center" vertical="center"/>
    </xf>
    <xf numFmtId="166" fontId="1" fillId="30" borderId="1" xfId="2" applyNumberFormat="1" applyFont="1" applyFill="1" applyBorder="1" applyAlignment="1">
      <alignment horizontal="center"/>
    </xf>
    <xf numFmtId="164" fontId="9" fillId="31" borderId="1" xfId="0" applyNumberFormat="1" applyFont="1" applyFill="1" applyBorder="1"/>
    <xf numFmtId="164" fontId="0" fillId="31" borderId="1" xfId="0" applyNumberFormat="1" applyFill="1" applyBorder="1"/>
    <xf numFmtId="0" fontId="0" fillId="18" borderId="1" xfId="0" applyFill="1" applyBorder="1"/>
    <xf numFmtId="0" fontId="0" fillId="29" borderId="0" xfId="0" applyFill="1"/>
    <xf numFmtId="0" fontId="31" fillId="18" borderId="0" xfId="0" applyFont="1" applyFill="1"/>
    <xf numFmtId="164" fontId="7" fillId="18" borderId="0" xfId="0" applyNumberFormat="1" applyFont="1" applyFill="1"/>
    <xf numFmtId="0" fontId="7" fillId="18" borderId="1" xfId="0" applyFont="1" applyFill="1" applyBorder="1"/>
    <xf numFmtId="164" fontId="0" fillId="0" borderId="1" xfId="0" applyNumberFormat="1" applyBorder="1"/>
    <xf numFmtId="164" fontId="0" fillId="18" borderId="12" xfId="0" applyNumberFormat="1" applyFill="1" applyBorder="1"/>
    <xf numFmtId="0" fontId="7" fillId="0" borderId="14" xfId="0" applyFont="1" applyBorder="1"/>
    <xf numFmtId="164" fontId="7" fillId="18" borderId="14" xfId="0" applyNumberFormat="1" applyFont="1" applyFill="1" applyBorder="1"/>
    <xf numFmtId="0" fontId="7" fillId="18" borderId="3" xfId="0" applyFont="1" applyFill="1" applyBorder="1"/>
    <xf numFmtId="0" fontId="0" fillId="0" borderId="12" xfId="0" applyBorder="1"/>
    <xf numFmtId="0" fontId="12" fillId="8" borderId="0" xfId="0" applyFont="1" applyFill="1"/>
    <xf numFmtId="164" fontId="7" fillId="18" borderId="3" xfId="0" applyNumberFormat="1" applyFont="1" applyFill="1" applyBorder="1" applyAlignment="1">
      <alignment horizontal="left"/>
    </xf>
    <xf numFmtId="0" fontId="0" fillId="13" borderId="1" xfId="1" applyNumberFormat="1" applyFont="1" applyFill="1" applyBorder="1" applyAlignment="1">
      <alignment horizontal="center"/>
    </xf>
    <xf numFmtId="164" fontId="7" fillId="18" borderId="0" xfId="0" applyNumberFormat="1" applyFont="1" applyFill="1" applyAlignment="1">
      <alignment horizontal="right"/>
    </xf>
    <xf numFmtId="164" fontId="9" fillId="27" borderId="1" xfId="0" applyNumberFormat="1" applyFont="1" applyFill="1" applyBorder="1"/>
    <xf numFmtId="164" fontId="7" fillId="18" borderId="0" xfId="0" applyNumberFormat="1" applyFont="1" applyFill="1" applyAlignment="1">
      <alignment horizontal="center"/>
    </xf>
    <xf numFmtId="0" fontId="0" fillId="4" borderId="3" xfId="0" applyFill="1" applyBorder="1"/>
    <xf numFmtId="0" fontId="7" fillId="18" borderId="0" xfId="0" applyFont="1" applyFill="1" applyAlignment="1">
      <alignment horizontal="left"/>
    </xf>
    <xf numFmtId="43" fontId="0" fillId="18" borderId="0" xfId="0" applyNumberFormat="1" applyFill="1" applyAlignment="1">
      <alignment horizontal="right"/>
    </xf>
    <xf numFmtId="43" fontId="0" fillId="18" borderId="0" xfId="1" applyFont="1" applyFill="1" applyAlignment="1">
      <alignment horizontal="right"/>
    </xf>
    <xf numFmtId="0" fontId="32" fillId="18" borderId="0" xfId="0" applyFont="1" applyFill="1" applyAlignment="1">
      <alignment horizontal="center"/>
    </xf>
    <xf numFmtId="0" fontId="33" fillId="18" borderId="0" xfId="0" applyFont="1" applyFill="1"/>
    <xf numFmtId="0" fontId="34" fillId="18" borderId="0" xfId="0" applyFont="1" applyFill="1"/>
    <xf numFmtId="164" fontId="13" fillId="18" borderId="0" xfId="0" applyNumberFormat="1" applyFont="1" applyFill="1"/>
    <xf numFmtId="0" fontId="7" fillId="4" borderId="0" xfId="0" applyFont="1" applyFill="1"/>
    <xf numFmtId="1" fontId="0" fillId="4" borderId="0" xfId="0" applyNumberFormat="1" applyFill="1"/>
    <xf numFmtId="167" fontId="0" fillId="29" borderId="0" xfId="0" applyNumberFormat="1" applyFill="1"/>
    <xf numFmtId="0" fontId="7" fillId="0" borderId="0" xfId="0" applyFont="1" applyAlignment="1">
      <alignment horizontal="right"/>
    </xf>
    <xf numFmtId="0" fontId="7" fillId="18" borderId="2" xfId="0" applyFont="1" applyFill="1" applyBorder="1"/>
    <xf numFmtId="164" fontId="0" fillId="0" borderId="2" xfId="0" applyNumberFormat="1" applyBorder="1"/>
    <xf numFmtId="0" fontId="29" fillId="18" borderId="0" xfId="0" applyFont="1" applyFill="1"/>
    <xf numFmtId="0" fontId="7" fillId="28" borderId="0" xfId="0" applyFont="1" applyFill="1"/>
    <xf numFmtId="43" fontId="0" fillId="18" borderId="0" xfId="0" applyNumberFormat="1" applyFill="1"/>
    <xf numFmtId="164" fontId="0" fillId="5" borderId="1" xfId="0" applyNumberFormat="1" applyFill="1" applyBorder="1"/>
    <xf numFmtId="164" fontId="0" fillId="23" borderId="1" xfId="1" applyNumberFormat="1" applyFont="1" applyFill="1" applyBorder="1"/>
    <xf numFmtId="0" fontId="36" fillId="18" borderId="0" xfId="0" applyFont="1" applyFill="1"/>
    <xf numFmtId="1" fontId="0" fillId="18" borderId="0" xfId="0" applyNumberFormat="1" applyFill="1" applyAlignment="1">
      <alignment horizontal="left"/>
    </xf>
    <xf numFmtId="1" fontId="0" fillId="18" borderId="2" xfId="0" applyNumberFormat="1" applyFill="1" applyBorder="1" applyAlignment="1">
      <alignment horizontal="left"/>
    </xf>
    <xf numFmtId="164" fontId="37" fillId="4" borderId="1" xfId="1" applyNumberFormat="1" applyFont="1" applyFill="1" applyBorder="1"/>
    <xf numFmtId="0" fontId="37" fillId="18" borderId="0" xfId="0" applyFont="1" applyFill="1"/>
    <xf numFmtId="0" fontId="38" fillId="18" borderId="0" xfId="0" applyFont="1" applyFill="1"/>
    <xf numFmtId="0" fontId="9" fillId="8" borderId="3" xfId="0" applyFont="1" applyFill="1" applyBorder="1"/>
    <xf numFmtId="0" fontId="0" fillId="8" borderId="15" xfId="0" applyFill="1" applyBorder="1"/>
    <xf numFmtId="164" fontId="0" fillId="8" borderId="15" xfId="1" applyNumberFormat="1" applyFont="1" applyFill="1" applyBorder="1"/>
    <xf numFmtId="0" fontId="39" fillId="8" borderId="12" xfId="0" applyFont="1" applyFill="1" applyBorder="1" applyAlignment="1">
      <alignment horizontal="right"/>
    </xf>
    <xf numFmtId="0" fontId="0" fillId="8" borderId="3" xfId="0" applyFill="1" applyBorder="1"/>
    <xf numFmtId="0" fontId="12" fillId="8" borderId="12" xfId="0" applyFont="1" applyFill="1" applyBorder="1" applyAlignment="1">
      <alignment horizontal="right"/>
    </xf>
    <xf numFmtId="0" fontId="12" fillId="8" borderId="1" xfId="0" applyFont="1" applyFill="1" applyBorder="1" applyAlignment="1">
      <alignment horizontal="left"/>
    </xf>
    <xf numFmtId="0" fontId="12" fillId="15" borderId="0" xfId="0" applyFont="1" applyFill="1"/>
    <xf numFmtId="164" fontId="0" fillId="4" borderId="3" xfId="1" applyNumberFormat="1" applyFont="1" applyFill="1" applyBorder="1"/>
    <xf numFmtId="164" fontId="0" fillId="5" borderId="12" xfId="1" applyNumberFormat="1" applyFont="1" applyFill="1" applyBorder="1"/>
    <xf numFmtId="0" fontId="7" fillId="11" borderId="1" xfId="0" applyFont="1" applyFill="1" applyBorder="1" applyAlignment="1">
      <alignment horizontal="center"/>
    </xf>
    <xf numFmtId="0" fontId="40" fillId="18" borderId="0" xfId="0" applyFont="1" applyFill="1" applyAlignment="1">
      <alignment horizontal="center" vertical="center"/>
    </xf>
    <xf numFmtId="0" fontId="13" fillId="27" borderId="0" xfId="0" applyFont="1" applyFill="1"/>
    <xf numFmtId="164" fontId="0" fillId="11" borderId="1" xfId="1" applyNumberFormat="1" applyFont="1" applyFill="1" applyBorder="1"/>
    <xf numFmtId="164" fontId="1" fillId="7" borderId="1" xfId="1" applyNumberFormat="1" applyFont="1" applyFill="1" applyBorder="1" applyAlignment="1">
      <alignment horizontal="center"/>
    </xf>
    <xf numFmtId="164" fontId="0" fillId="4" borderId="1" xfId="0" applyNumberFormat="1" applyFill="1" applyBorder="1" applyAlignment="1">
      <alignment horizontal="right"/>
    </xf>
    <xf numFmtId="43" fontId="0" fillId="4" borderId="1" xfId="0" applyNumberFormat="1" applyFill="1" applyBorder="1"/>
    <xf numFmtId="0" fontId="41" fillId="18" borderId="0" xfId="0" applyFont="1" applyFill="1"/>
    <xf numFmtId="0" fontId="41" fillId="18" borderId="0" xfId="0" applyFont="1" applyFill="1" applyAlignment="1">
      <alignment horizontal="right"/>
    </xf>
    <xf numFmtId="168" fontId="0" fillId="18" borderId="0" xfId="0" applyNumberFormat="1" applyFill="1"/>
    <xf numFmtId="0" fontId="42" fillId="0" borderId="0" xfId="0" applyFont="1"/>
    <xf numFmtId="0" fontId="0" fillId="13" borderId="0" xfId="0" applyFill="1"/>
    <xf numFmtId="168" fontId="12" fillId="15" borderId="4" xfId="0" applyNumberFormat="1" applyFont="1" applyFill="1" applyBorder="1"/>
    <xf numFmtId="168" fontId="0" fillId="4" borderId="1" xfId="0" applyNumberFormat="1" applyFill="1" applyBorder="1"/>
    <xf numFmtId="0" fontId="7" fillId="15" borderId="0" xfId="0" applyFont="1" applyFill="1" applyAlignment="1">
      <alignment horizontal="left" vertical="top" wrapText="1"/>
    </xf>
  </cellXfs>
  <cellStyles count="4">
    <cellStyle name="Komma" xfId="1" builtinId="3"/>
    <cellStyle name="Link" xfId="3" builtinId="8"/>
    <cellStyle name="Normal" xfId="0" builtinId="0"/>
    <cellStyle name="Procent" xfId="2" builtinId="5"/>
  </cellStyles>
  <dxfs count="80">
    <dxf>
      <font>
        <color rgb="FFFF0000"/>
      </font>
      <fill>
        <patternFill patternType="none">
          <bgColor auto="1"/>
        </patternFill>
      </fill>
    </dxf>
    <dxf>
      <font>
        <color rgb="FFFF0000"/>
      </font>
    </dxf>
    <dxf>
      <font>
        <color rgb="FFFF0000"/>
      </font>
      <fill>
        <patternFill patternType="none">
          <bgColor auto="1"/>
        </patternFill>
      </fill>
    </dxf>
    <dxf>
      <font>
        <color rgb="FFFF0000"/>
      </font>
    </dxf>
    <dxf>
      <fill>
        <patternFill>
          <bgColor theme="5" tint="0.79998168889431442"/>
        </patternFill>
      </fill>
    </dxf>
    <dxf>
      <fill>
        <patternFill>
          <bgColor theme="5" tint="0.79998168889431442"/>
        </patternFill>
      </fill>
    </dxf>
    <dxf>
      <border>
        <top style="thin">
          <color auto="1"/>
        </top>
        <vertical/>
        <horizontal/>
      </border>
    </dxf>
    <dxf>
      <font>
        <strike/>
        <color rgb="FFFF0000"/>
      </font>
    </dxf>
    <dxf>
      <fill>
        <patternFill>
          <bgColor theme="5" tint="0.79998168889431442"/>
        </patternFill>
      </fill>
    </dxf>
    <dxf>
      <fill>
        <patternFill>
          <bgColor theme="5" tint="0.79998168889431442"/>
        </patternFill>
      </fill>
    </dxf>
    <dxf>
      <font>
        <strike/>
        <color rgb="FFFF0000"/>
      </font>
    </dxf>
    <dxf>
      <font>
        <color rgb="FFFF0000"/>
      </font>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border>
        <bottom style="thin">
          <color auto="1"/>
        </bottom>
        <vertical/>
        <horizontal/>
      </border>
    </dxf>
    <dxf>
      <border>
        <bottom style="thin">
          <color auto="1"/>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ont>
        <color theme="0"/>
      </font>
    </dxf>
    <dxf>
      <font>
        <color auto="1"/>
      </font>
    </dxf>
    <dxf>
      <fill>
        <patternFill>
          <bgColor theme="5" tint="0.79998168889431442"/>
        </patternFill>
      </fill>
      <border>
        <left style="thin">
          <color auto="1"/>
        </left>
        <right style="thin">
          <color auto="1"/>
        </right>
        <top style="thin">
          <color auto="1"/>
        </top>
        <bottom style="thin">
          <color auto="1"/>
        </bottom>
        <vertical/>
        <horizontal/>
      </border>
    </dxf>
    <dxf>
      <font>
        <color theme="0"/>
      </font>
    </dxf>
    <dxf>
      <font>
        <color theme="0"/>
      </font>
    </dxf>
    <dxf>
      <fill>
        <patternFill>
          <bgColor theme="5" tint="0.79998168889431442"/>
        </patternFill>
      </fill>
      <border>
        <left style="thin">
          <color auto="1"/>
        </left>
        <right style="thin">
          <color auto="1"/>
        </right>
        <top style="thin">
          <color auto="1"/>
        </top>
        <bottom style="thin">
          <color auto="1"/>
        </bottom>
        <vertical/>
        <horizontal/>
      </border>
    </dxf>
    <dxf>
      <font>
        <color theme="0"/>
      </font>
    </dxf>
    <dxf>
      <font>
        <color theme="0"/>
      </font>
    </dxf>
    <dxf>
      <font>
        <color rgb="FFFF0000"/>
      </font>
    </dxf>
    <dxf>
      <fill>
        <patternFill>
          <bgColor theme="5"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ont>
        <color rgb="FFFF0000"/>
      </font>
    </dxf>
    <dxf>
      <font>
        <color theme="0"/>
      </font>
      <fill>
        <patternFill>
          <bgColor theme="0"/>
        </patternFill>
      </fill>
      <border>
        <left/>
        <right/>
        <top/>
        <bottom/>
        <vertical/>
        <horizontal/>
      </border>
    </dxf>
    <dxf>
      <font>
        <color theme="0"/>
      </font>
    </dxf>
    <dxf>
      <font>
        <color rgb="FFFF0000"/>
      </font>
    </dxf>
    <dxf>
      <font>
        <color theme="0"/>
      </font>
      <fill>
        <patternFill>
          <bgColor theme="0"/>
        </patternFill>
      </fill>
      <border>
        <left/>
        <right/>
        <top/>
        <bottom/>
        <vertical/>
        <horizontal/>
      </border>
    </dxf>
    <dxf>
      <font>
        <color rgb="FFFF0000"/>
      </font>
    </dxf>
    <dxf>
      <font>
        <color rgb="FFFF0000"/>
      </font>
    </dxf>
    <dxf>
      <font>
        <color theme="0"/>
      </font>
      <fill>
        <patternFill>
          <bgColor theme="0"/>
        </patternFill>
      </fill>
      <border>
        <left/>
        <right/>
        <top/>
        <bottom/>
        <vertical/>
        <horizontal/>
      </border>
    </dxf>
    <dxf>
      <font>
        <color theme="0"/>
      </font>
    </dxf>
    <dxf>
      <font>
        <color theme="0"/>
      </font>
    </dxf>
    <dxf>
      <font>
        <color rgb="FFFF0000"/>
      </font>
    </dxf>
    <dxf>
      <font>
        <strike/>
      </font>
      <fill>
        <patternFill>
          <bgColor theme="4" tint="0.7999816888943144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strike/>
        <color rgb="FFFF0000"/>
      </font>
    </dxf>
    <dxf>
      <border>
        <left style="thin">
          <color auto="1"/>
        </left>
        <right style="thin">
          <color auto="1"/>
        </right>
        <top style="thin">
          <color auto="1"/>
        </top>
        <bottom style="thin">
          <color auto="1"/>
        </bottom>
        <vertical/>
        <horizontal/>
      </border>
    </dxf>
    <dxf>
      <font>
        <strike/>
        <color rgb="FFFF0000"/>
      </font>
    </dxf>
    <dxf>
      <border>
        <left style="thin">
          <color auto="1"/>
        </left>
        <right style="thin">
          <color auto="1"/>
        </right>
        <top style="thin">
          <color auto="1"/>
        </top>
        <bottom style="thin">
          <color auto="1"/>
        </bottom>
        <vertical/>
        <horizontal/>
      </border>
    </dxf>
    <dxf>
      <font>
        <color theme="1"/>
      </font>
    </dxf>
    <dxf>
      <font>
        <color rgb="FFFF0000"/>
      </font>
    </dxf>
    <dxf>
      <font>
        <strike/>
        <color rgb="FFFF0000"/>
      </font>
    </dxf>
    <dxf>
      <fill>
        <patternFill>
          <bgColor theme="5" tint="0.79998168889431442"/>
        </patternFill>
      </fill>
    </dxf>
    <dxf>
      <fill>
        <patternFill>
          <bgColor theme="5" tint="0.79998168889431442"/>
        </patternFill>
      </fill>
    </dxf>
    <dxf>
      <fill>
        <patternFill>
          <bgColor theme="4" tint="0.79998168889431442"/>
        </patternFill>
      </fill>
      <border>
        <left style="thin">
          <color auto="1"/>
        </left>
        <right style="thin">
          <color auto="1"/>
        </right>
        <top style="thin">
          <color auto="1"/>
        </top>
        <bottom style="thin">
          <color auto="1"/>
        </bottom>
        <vertical/>
        <horizontal/>
      </border>
    </dxf>
    <dxf>
      <font>
        <color theme="0"/>
      </font>
    </dxf>
    <dxf>
      <fill>
        <patternFill>
          <bgColor theme="4" tint="0.79998168889431442"/>
        </patternFill>
      </fill>
      <border>
        <left style="thin">
          <color auto="1"/>
        </left>
        <right style="thin">
          <color auto="1"/>
        </right>
        <top style="thin">
          <color auto="1"/>
        </top>
        <bottom style="thin">
          <color auto="1"/>
        </bottom>
        <vertical/>
        <horizontal/>
      </border>
    </dxf>
    <dxf>
      <font>
        <color theme="0"/>
      </font>
    </dxf>
    <dxf>
      <font>
        <strike/>
        <color theme="8" tint="0.59996337778862885"/>
      </font>
    </dxf>
    <dxf>
      <font>
        <b/>
        <i val="0"/>
        <color rgb="FF00B050"/>
      </font>
    </dxf>
    <dxf>
      <font>
        <strike/>
        <color theme="8" tint="0.59996337778862885"/>
      </font>
    </dxf>
    <dxf>
      <font>
        <b/>
        <i val="0"/>
        <color rgb="FF00B050"/>
      </font>
    </dxf>
    <dxf>
      <font>
        <strike/>
        <color theme="8" tint="0.59996337778862885"/>
      </font>
    </dxf>
    <dxf>
      <font>
        <b/>
        <i val="0"/>
        <color rgb="FF00B050"/>
      </font>
    </dxf>
    <dxf>
      <fill>
        <patternFill patternType="lightGrid">
          <fgColor theme="7" tint="-0.24994659260841701"/>
        </patternFill>
      </fill>
    </dxf>
    <dxf>
      <border>
        <right style="thin">
          <color auto="1"/>
        </right>
        <bottom style="thin">
          <color auto="1"/>
        </bottom>
        <vertical/>
        <horizontal/>
      </border>
    </dxf>
    <dxf>
      <border>
        <left/>
        <right/>
        <top/>
        <bottom/>
        <vertical/>
        <horizontal/>
      </border>
    </dxf>
    <dxf>
      <font>
        <color rgb="FFFF0000"/>
      </font>
    </dxf>
    <dxf>
      <border>
        <bottom style="thin">
          <color auto="1"/>
        </bottom>
        <vertical/>
        <horizontal/>
      </border>
    </dxf>
    <dxf>
      <font>
        <color theme="0" tint="-4.9989318521683403E-2"/>
      </font>
      <fill>
        <patternFill>
          <bgColor theme="0" tint="-4.9989318521683403E-2"/>
        </patternFill>
      </fill>
    </dxf>
    <dxf>
      <fill>
        <patternFill>
          <bgColor rgb="FF00B050"/>
        </patternFill>
      </fill>
    </dxf>
    <dxf>
      <border>
        <left style="thin">
          <color auto="1"/>
        </left>
        <bottom style="thin">
          <color auto="1"/>
        </bottom>
        <vertical/>
        <horizontal/>
      </border>
    </dxf>
    <dxf>
      <font>
        <color theme="0"/>
      </font>
      <fill>
        <patternFill>
          <bgColor theme="0"/>
        </patternFill>
      </fill>
      <border>
        <left/>
        <right/>
        <top/>
        <bottom/>
        <vertical/>
        <horizontal/>
      </border>
    </dxf>
    <dxf>
      <font>
        <b val="0"/>
        <i val="0"/>
        <strike val="0"/>
        <condense val="0"/>
        <extend val="0"/>
        <outline val="0"/>
        <shadow val="0"/>
        <u val="none"/>
        <vertAlign val="baseline"/>
        <sz val="10"/>
        <color rgb="FF000000"/>
        <name val="Arial"/>
        <family val="2"/>
        <scheme val="minor"/>
      </font>
      <fill>
        <patternFill patternType="solid">
          <fgColor indexed="64"/>
          <bgColor theme="7" tint="0.79998168889431442"/>
        </patternFill>
      </fill>
    </dxf>
    <dxf>
      <font>
        <b val="0"/>
        <i val="0"/>
        <strike val="0"/>
        <condense val="0"/>
        <extend val="0"/>
        <outline val="0"/>
        <shadow val="0"/>
        <u val="none"/>
        <vertAlign val="baseline"/>
        <sz val="10"/>
        <color rgb="FF000000"/>
        <name val="Arial"/>
        <family val="2"/>
        <scheme val="minor"/>
      </font>
      <fill>
        <patternFill patternType="solid">
          <fgColor indexed="64"/>
          <bgColor theme="7" tint="0.79998168889431442"/>
        </patternFill>
      </fill>
    </dxf>
    <dxf>
      <font>
        <b val="0"/>
        <i val="0"/>
        <strike val="0"/>
        <condense val="0"/>
        <extend val="0"/>
        <outline val="0"/>
        <shadow val="0"/>
        <u val="none"/>
        <vertAlign val="baseline"/>
        <sz val="10"/>
        <color rgb="FF000000"/>
        <name val="Arial"/>
        <family val="2"/>
        <scheme val="minor"/>
      </font>
      <fill>
        <patternFill patternType="solid">
          <fgColor indexed="64"/>
          <bgColor theme="7" tint="0.79998168889431442"/>
        </patternFill>
      </fill>
    </dxf>
  </dxfs>
  <tableStyles count="0" defaultTableStyle="TableStyleMedium2" defaultPivotStyle="PivotStyleLight16"/>
  <colors>
    <mruColors>
      <color rgb="FFFFBDF7"/>
      <color rgb="FF66FF33"/>
      <color rgb="FFFF00FF"/>
      <color rgb="FFDAE7FF"/>
      <color rgb="FF66FF32"/>
      <color rgb="FFFADC45"/>
      <color rgb="FFACE7FD"/>
      <color rgb="FF2FAB7B"/>
      <color rgb="FFD6F3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Z$118"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216387</xdr:colOff>
      <xdr:row>3</xdr:row>
      <xdr:rowOff>18066</xdr:rowOff>
    </xdr:from>
    <xdr:to>
      <xdr:col>4</xdr:col>
      <xdr:colOff>696054</xdr:colOff>
      <xdr:row>6</xdr:row>
      <xdr:rowOff>44939</xdr:rowOff>
    </xdr:to>
    <xdr:pic>
      <xdr:nvPicPr>
        <xdr:cNvPr id="3" name="Picture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6772" y="516297"/>
          <a:ext cx="2814513" cy="710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801077</xdr:colOff>
      <xdr:row>3</xdr:row>
      <xdr:rowOff>111205</xdr:rowOff>
    </xdr:from>
    <xdr:to>
      <xdr:col>15</xdr:col>
      <xdr:colOff>754927</xdr:colOff>
      <xdr:row>11</xdr:row>
      <xdr:rowOff>78153</xdr:rowOff>
    </xdr:to>
    <xdr:pic>
      <xdr:nvPicPr>
        <xdr:cNvPr id="4" name="Picture 3" descr="Business value calculator-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84692" y="443359"/>
          <a:ext cx="2476754" cy="15788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420077</xdr:colOff>
      <xdr:row>1</xdr:row>
      <xdr:rowOff>107461</xdr:rowOff>
    </xdr:from>
    <xdr:to>
      <xdr:col>3</xdr:col>
      <xdr:colOff>69359</xdr:colOff>
      <xdr:row>5</xdr:row>
      <xdr:rowOff>75719</xdr:rowOff>
    </xdr:to>
    <xdr:pic>
      <xdr:nvPicPr>
        <xdr:cNvPr id="3" name="Picture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77" y="273538"/>
          <a:ext cx="2814513" cy="710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29307</xdr:colOff>
      <xdr:row>1</xdr:row>
      <xdr:rowOff>137200</xdr:rowOff>
    </xdr:from>
    <xdr:to>
      <xdr:col>11</xdr:col>
      <xdr:colOff>97692</xdr:colOff>
      <xdr:row>5</xdr:row>
      <xdr:rowOff>54871</xdr:rowOff>
    </xdr:to>
    <xdr:pic>
      <xdr:nvPicPr>
        <xdr:cNvPr id="4" name="Picture 3" descr="Business value calculator-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85384" y="303277"/>
          <a:ext cx="1035539" cy="660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6</xdr:col>
          <xdr:colOff>342900</xdr:colOff>
          <xdr:row>118</xdr:row>
          <xdr:rowOff>38100</xdr:rowOff>
        </xdr:from>
        <xdr:to>
          <xdr:col>7</xdr:col>
          <xdr:colOff>450850</xdr:colOff>
          <xdr:row>119</xdr:row>
          <xdr:rowOff>0</xdr:rowOff>
        </xdr:to>
        <xdr:sp macro="" textlink="">
          <xdr:nvSpPr>
            <xdr:cNvPr id="1044" name="Option Button 20" descr="Traditional&#1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gradFill rotWithShape="1">
              <a:gsLst>
                <a:gs pos="0">
                  <a:srgbClr val="FFFFFF" mc:Ignorable="a14" a14:legacySpreadsheetColorIndex="65"/>
                </a:gs>
                <a:gs pos="100000">
                  <a:srgbClr val="00FF00" mc:Ignorable="a14" a14:legacySpreadsheetColorIndex="11"/>
                </a:gs>
              </a:gsLst>
              <a:lin ang="2700000" scaled="1"/>
            </a:gradFill>
            <a:ln w="9525">
              <a:solidFill>
                <a:srgbClr val="000000" mc:Ignorable="a14" a14:legacySpreadsheetColorIndex="64"/>
              </a:solidFill>
              <a:miter lim="800000"/>
              <a:headEnd/>
              <a:tailEnd/>
            </a:ln>
          </xdr:spPr>
          <xdr:txBody>
            <a:bodyPr vertOverflow="clip" wrap="square" lIns="36576" tIns="32004" rIns="0" bIns="32004" anchor="ctr" upright="1"/>
            <a:lstStyle/>
            <a:p>
              <a:pPr algn="l" rtl="0">
                <a:defRPr sz="1000"/>
              </a:pPr>
              <a:r>
                <a:rPr lang="da-DK" sz="800" b="0" i="0" u="none" strike="noStrike" baseline="0">
                  <a:solidFill>
                    <a:srgbClr val="000000"/>
                  </a:solidFill>
                  <a:latin typeface="Segoe UI"/>
                  <a:cs typeface="Segoe UI"/>
                </a:rPr>
                <a:t>Traditionel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119</xdr:row>
          <xdr:rowOff>44450</xdr:rowOff>
        </xdr:from>
        <xdr:to>
          <xdr:col>7</xdr:col>
          <xdr:colOff>450850</xdr:colOff>
          <xdr:row>120</xdr:row>
          <xdr:rowOff>6350</xdr:rowOff>
        </xdr:to>
        <xdr:sp macro="" textlink="">
          <xdr:nvSpPr>
            <xdr:cNvPr id="1045" name="Option Button 21" descr="Traditional&#10;"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gradFill rotWithShape="1">
              <a:gsLst>
                <a:gs pos="0">
                  <a:srgbClr val="FFFFFF" mc:Ignorable="a14" a14:legacySpreadsheetColorIndex="65"/>
                </a:gs>
                <a:gs pos="100000">
                  <a:srgbClr val="00FF00" mc:Ignorable="a14" a14:legacySpreadsheetColorIndex="11"/>
                </a:gs>
              </a:gsLst>
              <a:lin ang="2700000" scaled="1"/>
            </a:gradFill>
            <a:ln w="9525">
              <a:solidFill>
                <a:srgbClr val="000000" mc:Ignorable="a14" a14:legacySpreadsheetColorIndex="64"/>
              </a:solidFill>
              <a:miter lim="800000"/>
              <a:headEnd/>
              <a:tailEnd/>
            </a:ln>
          </xdr:spPr>
          <xdr:txBody>
            <a:bodyPr vertOverflow="clip" wrap="square" lIns="36576" tIns="32004" rIns="0" bIns="32004" anchor="ctr" upright="1"/>
            <a:lstStyle/>
            <a:p>
              <a:pPr algn="l" rtl="0">
                <a:defRPr sz="1000"/>
              </a:pPr>
              <a:r>
                <a:rPr lang="da-DK" sz="800" b="0" i="0" u="none" strike="noStrike" baseline="0">
                  <a:solidFill>
                    <a:srgbClr val="000000"/>
                  </a:solidFill>
                  <a:latin typeface="Segoe UI"/>
                  <a:cs typeface="Segoe UI"/>
                </a:rPr>
                <a:t>Modern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120</xdr:row>
          <xdr:rowOff>50800</xdr:rowOff>
        </xdr:from>
        <xdr:to>
          <xdr:col>7</xdr:col>
          <xdr:colOff>450850</xdr:colOff>
          <xdr:row>121</xdr:row>
          <xdr:rowOff>12700</xdr:rowOff>
        </xdr:to>
        <xdr:sp macro="" textlink="">
          <xdr:nvSpPr>
            <xdr:cNvPr id="1046" name="Option Button 22" descr="Traditional&#10;"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gradFill rotWithShape="1">
              <a:gsLst>
                <a:gs pos="0">
                  <a:srgbClr val="FFFFFF" mc:Ignorable="a14" a14:legacySpreadsheetColorIndex="65"/>
                </a:gs>
                <a:gs pos="100000">
                  <a:srgbClr val="00FF00" mc:Ignorable="a14" a14:legacySpreadsheetColorIndex="11"/>
                </a:gs>
              </a:gsLst>
              <a:lin ang="2700000" scaled="1"/>
            </a:gradFill>
            <a:ln w="9525">
              <a:solidFill>
                <a:srgbClr val="000000" mc:Ignorable="a14" a14:legacySpreadsheetColorIndex="64"/>
              </a:solidFill>
              <a:miter lim="800000"/>
              <a:headEnd/>
              <a:tailEnd/>
            </a:ln>
          </xdr:spPr>
          <xdr:txBody>
            <a:bodyPr vertOverflow="clip" wrap="square" lIns="36576" tIns="32004" rIns="0" bIns="32004" anchor="ctr" upright="1"/>
            <a:lstStyle/>
            <a:p>
              <a:pPr algn="l" rtl="0">
                <a:defRPr sz="1000"/>
              </a:pPr>
              <a:r>
                <a:rPr lang="da-DK" sz="800" b="0" i="0" u="none" strike="noStrike" baseline="0">
                  <a:solidFill>
                    <a:srgbClr val="000000"/>
                  </a:solidFill>
                  <a:latin typeface="Segoe UI"/>
                  <a:cs typeface="Segoe UI"/>
                </a:rPr>
                <a:t>TravelPerk</a:t>
              </a:r>
            </a:p>
          </xdr:txBody>
        </xdr:sp>
        <xdr:clientData/>
      </xdr:twoCellAnchor>
    </mc:Choice>
    <mc:Fallback/>
  </mc:AlternateContent>
  <xdr:twoCellAnchor>
    <xdr:from>
      <xdr:col>3</xdr:col>
      <xdr:colOff>793750</xdr:colOff>
      <xdr:row>187</xdr:row>
      <xdr:rowOff>25400</xdr:rowOff>
    </xdr:from>
    <xdr:to>
      <xdr:col>3</xdr:col>
      <xdr:colOff>800100</xdr:colOff>
      <xdr:row>194</xdr:row>
      <xdr:rowOff>114300</xdr:rowOff>
    </xdr:to>
    <xdr:cxnSp macro="">
      <xdr:nvCxnSpPr>
        <xdr:cNvPr id="5" name="Lige pilforbindelse 4">
          <a:extLst>
            <a:ext uri="{FF2B5EF4-FFF2-40B4-BE49-F238E27FC236}">
              <a16:creationId xmlns:a16="http://schemas.microsoft.com/office/drawing/2014/main" id="{00000000-0008-0000-0100-000005000000}"/>
            </a:ext>
          </a:extLst>
        </xdr:cNvPr>
        <xdr:cNvCxnSpPr/>
      </xdr:nvCxnSpPr>
      <xdr:spPr>
        <a:xfrm>
          <a:off x="3689350" y="28943300"/>
          <a:ext cx="6350" cy="1244600"/>
        </a:xfrm>
        <a:prstGeom prst="straightConnector1">
          <a:avLst/>
        </a:prstGeom>
        <a:ln w="1905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723900</xdr:colOff>
      <xdr:row>155</xdr:row>
      <xdr:rowOff>107950</xdr:rowOff>
    </xdr:from>
    <xdr:to>
      <xdr:col>3</xdr:col>
      <xdr:colOff>730250</xdr:colOff>
      <xdr:row>162</xdr:row>
      <xdr:rowOff>82550</xdr:rowOff>
    </xdr:to>
    <xdr:cxnSp macro="">
      <xdr:nvCxnSpPr>
        <xdr:cNvPr id="10" name="Lige pilforbindelse 9">
          <a:extLst>
            <a:ext uri="{FF2B5EF4-FFF2-40B4-BE49-F238E27FC236}">
              <a16:creationId xmlns:a16="http://schemas.microsoft.com/office/drawing/2014/main" id="{00000000-0008-0000-0100-00000A000000}"/>
            </a:ext>
          </a:extLst>
        </xdr:cNvPr>
        <xdr:cNvCxnSpPr/>
      </xdr:nvCxnSpPr>
      <xdr:spPr>
        <a:xfrm flipH="1">
          <a:off x="3619500" y="23736300"/>
          <a:ext cx="6350" cy="1130300"/>
        </a:xfrm>
        <a:prstGeom prst="straightConnector1">
          <a:avLst/>
        </a:prstGeom>
        <a:ln w="1905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787400</xdr:colOff>
      <xdr:row>211</xdr:row>
      <xdr:rowOff>31750</xdr:rowOff>
    </xdr:from>
    <xdr:to>
      <xdr:col>3</xdr:col>
      <xdr:colOff>793750</xdr:colOff>
      <xdr:row>218</xdr:row>
      <xdr:rowOff>120650</xdr:rowOff>
    </xdr:to>
    <xdr:cxnSp macro="">
      <xdr:nvCxnSpPr>
        <xdr:cNvPr id="20" name="Lige pilforbindelse 19">
          <a:extLst>
            <a:ext uri="{FF2B5EF4-FFF2-40B4-BE49-F238E27FC236}">
              <a16:creationId xmlns:a16="http://schemas.microsoft.com/office/drawing/2014/main" id="{00000000-0008-0000-0100-000014000000}"/>
            </a:ext>
          </a:extLst>
        </xdr:cNvPr>
        <xdr:cNvCxnSpPr/>
      </xdr:nvCxnSpPr>
      <xdr:spPr>
        <a:xfrm>
          <a:off x="3683000" y="32099250"/>
          <a:ext cx="6350" cy="1244600"/>
        </a:xfrm>
        <a:prstGeom prst="straightConnector1">
          <a:avLst/>
        </a:prstGeom>
        <a:ln w="1905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455706</xdr:colOff>
      <xdr:row>29</xdr:row>
      <xdr:rowOff>53684</xdr:rowOff>
    </xdr:from>
    <xdr:to>
      <xdr:col>11</xdr:col>
      <xdr:colOff>112059</xdr:colOff>
      <xdr:row>30</xdr:row>
      <xdr:rowOff>134471</xdr:rowOff>
    </xdr:to>
    <xdr:pic>
      <xdr:nvPicPr>
        <xdr:cNvPr id="6" name="Billed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9144000" y="4954390"/>
          <a:ext cx="1075765" cy="237669"/>
        </a:xfrm>
        <a:prstGeom prst="rect">
          <a:avLst/>
        </a:prstGeom>
      </xdr:spPr>
    </xdr:pic>
    <xdr:clientData/>
  </xdr:twoCellAnchor>
  <xdr:twoCellAnchor editAs="oneCell">
    <xdr:from>
      <xdr:col>9</xdr:col>
      <xdr:colOff>448235</xdr:colOff>
      <xdr:row>31</xdr:row>
      <xdr:rowOff>9986</xdr:rowOff>
    </xdr:from>
    <xdr:to>
      <xdr:col>11</xdr:col>
      <xdr:colOff>117404</xdr:colOff>
      <xdr:row>33</xdr:row>
      <xdr:rowOff>52293</xdr:rowOff>
    </xdr:to>
    <xdr:pic>
      <xdr:nvPicPr>
        <xdr:cNvPr id="7" name="Billed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9136529" y="5224457"/>
          <a:ext cx="1088581" cy="356071"/>
        </a:xfrm>
        <a:prstGeom prst="rect">
          <a:avLst/>
        </a:prstGeom>
      </xdr:spPr>
    </xdr:pic>
    <xdr:clientData/>
  </xdr:twoCellAnchor>
  <xdr:twoCellAnchor>
    <xdr:from>
      <xdr:col>3</xdr:col>
      <xdr:colOff>769467</xdr:colOff>
      <xdr:row>173</xdr:row>
      <xdr:rowOff>52294</xdr:rowOff>
    </xdr:from>
    <xdr:to>
      <xdr:col>3</xdr:col>
      <xdr:colOff>769470</xdr:colOff>
      <xdr:row>179</xdr:row>
      <xdr:rowOff>67235</xdr:rowOff>
    </xdr:to>
    <xdr:cxnSp macro="">
      <xdr:nvCxnSpPr>
        <xdr:cNvPr id="2" name="Lige pilforbindelse 1">
          <a:extLst>
            <a:ext uri="{FF2B5EF4-FFF2-40B4-BE49-F238E27FC236}">
              <a16:creationId xmlns:a16="http://schemas.microsoft.com/office/drawing/2014/main" id="{00000000-0008-0000-0100-000002000000}"/>
            </a:ext>
          </a:extLst>
        </xdr:cNvPr>
        <xdr:cNvCxnSpPr/>
      </xdr:nvCxnSpPr>
      <xdr:spPr>
        <a:xfrm flipH="1">
          <a:off x="3660585" y="26557941"/>
          <a:ext cx="3" cy="1001059"/>
        </a:xfrm>
        <a:prstGeom prst="straightConnector1">
          <a:avLst/>
        </a:prstGeom>
        <a:ln w="19050">
          <a:solidFill>
            <a:schemeClr val="accent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290866</xdr:colOff>
      <xdr:row>293</xdr:row>
      <xdr:rowOff>119531</xdr:rowOff>
    </xdr:from>
    <xdr:to>
      <xdr:col>10</xdr:col>
      <xdr:colOff>377712</xdr:colOff>
      <xdr:row>296</xdr:row>
      <xdr:rowOff>29884</xdr:rowOff>
    </xdr:to>
    <xdr:pic>
      <xdr:nvPicPr>
        <xdr:cNvPr id="8" name="Billed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5"/>
        <a:stretch>
          <a:fillRect/>
        </a:stretch>
      </xdr:blipFill>
      <xdr:spPr>
        <a:xfrm>
          <a:off x="8979160" y="44898237"/>
          <a:ext cx="624728" cy="403412"/>
        </a:xfrm>
        <a:prstGeom prst="rect">
          <a:avLst/>
        </a:prstGeom>
      </xdr:spPr>
    </xdr:pic>
    <xdr:clientData/>
  </xdr:twoCellAnchor>
  <xdr:twoCellAnchor editAs="oneCell">
    <xdr:from>
      <xdr:col>3</xdr:col>
      <xdr:colOff>880836</xdr:colOff>
      <xdr:row>299</xdr:row>
      <xdr:rowOff>39767</xdr:rowOff>
    </xdr:from>
    <xdr:to>
      <xdr:col>4</xdr:col>
      <xdr:colOff>851647</xdr:colOff>
      <xdr:row>300</xdr:row>
      <xdr:rowOff>141939</xdr:rowOff>
    </xdr:to>
    <xdr:pic>
      <xdr:nvPicPr>
        <xdr:cNvPr id="9" name="Billed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a:stretch>
          <a:fillRect/>
        </a:stretch>
      </xdr:blipFill>
      <xdr:spPr>
        <a:xfrm>
          <a:off x="3771954" y="45819532"/>
          <a:ext cx="912105" cy="2665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D8FD9DF-C517-40A3-95FA-FFBB552F6C89}" name="Tabel2" displayName="Tabel2" ref="Z22:Z27" totalsRowShown="0" headerRowDxfId="79" dataDxfId="78">
  <autoFilter ref="Z22:Z27" xr:uid="{8D8FD9DF-C517-40A3-95FA-FFBB552F6C89}"/>
  <tableColumns count="1">
    <tableColumn id="1" xr3:uid="{C9408E75-B101-4FD8-AB78-1A64F1096562}" name="DKK" dataDxfId="77"/>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ortal.goodwings.com/book-a-demo"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portal.goodwings.com/book-a-demo"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272BA-A9A5-4B4E-BA56-A33A26F5C487}">
  <sheetPr codeName="Ark2">
    <pageSetUpPr fitToPage="1"/>
  </sheetPr>
  <dimension ref="A1:BS177"/>
  <sheetViews>
    <sheetView tabSelected="1" zoomScaleNormal="100" workbookViewId="0"/>
  </sheetViews>
  <sheetFormatPr defaultColWidth="10.81640625" defaultRowHeight="12.5"/>
  <cols>
    <col min="1" max="1" width="10.81640625" style="72"/>
    <col min="2" max="2" width="8.36328125" customWidth="1"/>
    <col min="3" max="4" width="11.1796875" customWidth="1"/>
    <col min="8" max="8" width="12.6328125" bestFit="1" customWidth="1"/>
    <col min="9" max="9" width="9.6328125" customWidth="1"/>
    <col min="10" max="10" width="13.36328125" customWidth="1"/>
    <col min="11" max="11" width="11.36328125" customWidth="1"/>
    <col min="12" max="12" width="9.6328125" customWidth="1"/>
    <col min="13" max="16" width="10.81640625" style="72"/>
    <col min="17" max="17" width="11.1796875" style="72" bestFit="1" customWidth="1"/>
    <col min="18" max="18" width="10.81640625" style="72"/>
    <col min="19" max="19" width="11.1796875" style="72" bestFit="1" customWidth="1"/>
    <col min="20" max="71" width="10.81640625" style="72"/>
  </cols>
  <sheetData>
    <row r="1" spans="2:14" s="72" customFormat="1"/>
    <row r="2" spans="2:14" s="72" customFormat="1"/>
    <row r="3" spans="2:14">
      <c r="B3" s="57"/>
      <c r="C3" s="58"/>
      <c r="D3" s="58"/>
      <c r="E3" s="58"/>
      <c r="F3" s="58"/>
      <c r="G3" s="58"/>
      <c r="H3" s="58"/>
      <c r="I3" s="58"/>
      <c r="J3" s="58"/>
      <c r="K3" s="58"/>
      <c r="L3" s="59"/>
    </row>
    <row r="4" spans="2:14">
      <c r="B4" s="60"/>
      <c r="C4" s="56"/>
      <c r="D4" s="56"/>
      <c r="E4" s="56"/>
      <c r="F4" s="56"/>
      <c r="G4" s="56"/>
      <c r="H4" s="56"/>
      <c r="I4" s="56"/>
      <c r="J4" s="56"/>
      <c r="K4" s="56"/>
      <c r="L4" s="61"/>
    </row>
    <row r="5" spans="2:14" ht="28">
      <c r="B5" s="60"/>
      <c r="C5" s="56"/>
      <c r="D5" s="56"/>
      <c r="E5" s="56"/>
      <c r="F5" s="56"/>
      <c r="G5" s="56"/>
      <c r="H5" s="56"/>
      <c r="I5" s="56"/>
      <c r="J5" s="56"/>
      <c r="K5" s="77" t="s">
        <v>207</v>
      </c>
      <c r="L5" s="61"/>
    </row>
    <row r="6" spans="2:14">
      <c r="B6" s="60"/>
      <c r="C6" s="56"/>
      <c r="D6" s="56"/>
      <c r="E6" s="56"/>
      <c r="F6" s="56"/>
      <c r="G6" s="56"/>
      <c r="H6" s="56"/>
      <c r="I6" s="56"/>
      <c r="J6" s="56"/>
      <c r="K6" s="56"/>
      <c r="L6" s="61"/>
    </row>
    <row r="7" spans="2:14">
      <c r="B7" s="60"/>
      <c r="C7" s="56"/>
      <c r="D7" s="56"/>
      <c r="E7" s="56"/>
      <c r="F7" s="56"/>
      <c r="G7" s="56"/>
      <c r="H7" s="56"/>
      <c r="I7" s="56"/>
      <c r="J7" s="56"/>
      <c r="K7" s="56"/>
      <c r="L7" s="61"/>
    </row>
    <row r="8" spans="2:14" ht="20">
      <c r="B8" s="78"/>
      <c r="C8" s="79"/>
      <c r="D8" s="80"/>
      <c r="E8" s="80"/>
      <c r="F8" s="80"/>
      <c r="G8" s="80"/>
      <c r="H8" s="80"/>
      <c r="I8" s="80"/>
      <c r="J8" s="80"/>
      <c r="K8" s="80"/>
      <c r="L8" s="81"/>
    </row>
    <row r="9" spans="2:14">
      <c r="B9" s="60"/>
      <c r="C9" s="56"/>
      <c r="D9" s="56"/>
      <c r="E9" s="56"/>
      <c r="F9" s="56"/>
      <c r="G9" s="56"/>
      <c r="H9" s="56"/>
      <c r="I9" s="56"/>
      <c r="J9" s="56"/>
      <c r="K9" s="56"/>
      <c r="L9" s="61"/>
    </row>
    <row r="10" spans="2:14">
      <c r="B10" s="60"/>
      <c r="C10" s="92" t="s">
        <v>234</v>
      </c>
      <c r="D10" s="55"/>
      <c r="E10" s="56"/>
      <c r="F10" s="56"/>
      <c r="G10" s="56"/>
      <c r="H10" s="56"/>
      <c r="I10" s="56"/>
      <c r="J10" s="56"/>
      <c r="K10" s="56"/>
      <c r="L10" s="61"/>
    </row>
    <row r="11" spans="2:14" ht="13.5" thickBot="1">
      <c r="B11" s="60"/>
      <c r="C11" s="56"/>
      <c r="D11" s="56"/>
      <c r="E11" s="56"/>
      <c r="F11" s="56"/>
      <c r="G11" s="56"/>
      <c r="H11" s="88" t="s">
        <v>181</v>
      </c>
      <c r="I11" s="70"/>
      <c r="J11" s="71">
        <f>+J27+J32+J34+J36+J38+J43+J45+J50+J57</f>
        <v>0</v>
      </c>
      <c r="K11" s="88" t="str">
        <f>+'Data Entry'!$H$18</f>
        <v>EUR</v>
      </c>
      <c r="L11" s="61"/>
    </row>
    <row r="12" spans="2:14" ht="13" thickTop="1">
      <c r="B12" s="60"/>
      <c r="C12" s="56"/>
      <c r="D12" s="56"/>
      <c r="E12" s="56"/>
      <c r="F12" s="56"/>
      <c r="G12" s="56"/>
      <c r="H12" s="56"/>
      <c r="I12" s="56"/>
      <c r="J12" s="56"/>
      <c r="K12" s="56"/>
      <c r="L12" s="61"/>
    </row>
    <row r="13" spans="2:14">
      <c r="B13" s="60"/>
      <c r="C13" s="56"/>
      <c r="D13" s="56"/>
      <c r="E13" s="56"/>
      <c r="F13" s="56"/>
      <c r="G13" s="56"/>
      <c r="H13" s="56"/>
      <c r="I13" s="56"/>
      <c r="J13" s="56"/>
      <c r="K13" s="56"/>
      <c r="L13" s="61"/>
    </row>
    <row r="14" spans="2:14" ht="18">
      <c r="B14" s="60"/>
      <c r="C14" s="86" t="str">
        <f>+'Data Entry'!A16</f>
        <v>Section #1</v>
      </c>
      <c r="D14" s="86" t="str">
        <f>+'Data Entry'!B16</f>
        <v>Overall travel spend</v>
      </c>
      <c r="E14" s="87"/>
      <c r="F14" s="87"/>
      <c r="G14" s="87"/>
      <c r="H14" s="87"/>
      <c r="I14" s="87"/>
      <c r="J14" s="87"/>
      <c r="K14" s="87"/>
      <c r="L14" s="61"/>
      <c r="N14" s="73" t="s">
        <v>182</v>
      </c>
    </row>
    <row r="15" spans="2:14" ht="13">
      <c r="B15" s="60"/>
      <c r="C15" s="56"/>
      <c r="D15" s="56"/>
      <c r="E15" s="56"/>
      <c r="F15" s="56"/>
      <c r="G15" s="56"/>
      <c r="H15" s="56"/>
      <c r="I15" s="56"/>
      <c r="J15" s="56"/>
      <c r="K15" s="56"/>
      <c r="L15" s="61"/>
      <c r="N15" s="74"/>
    </row>
    <row r="16" spans="2:14">
      <c r="B16" s="60"/>
      <c r="C16" s="56"/>
      <c r="D16" s="56"/>
      <c r="E16" s="56"/>
      <c r="F16" s="56"/>
      <c r="G16" s="56"/>
      <c r="H16" s="56"/>
      <c r="I16" s="56"/>
      <c r="J16" s="56" t="str">
        <f>+'Data Entry'!H21</f>
        <v>Overall Amount</v>
      </c>
      <c r="K16" s="56"/>
      <c r="L16" s="61"/>
      <c r="N16" s="76" t="s">
        <v>212</v>
      </c>
    </row>
    <row r="17" spans="2:14">
      <c r="B17" s="60"/>
      <c r="C17" s="56"/>
      <c r="D17" s="56" t="str">
        <f>+'Data Entry'!D22</f>
        <v xml:space="preserve">How much money do you spend on travel? </v>
      </c>
      <c r="E17" s="56"/>
      <c r="F17" s="56"/>
      <c r="G17" s="56"/>
      <c r="H17" s="56"/>
      <c r="I17" s="56"/>
      <c r="J17" s="7">
        <f>+'Data Entry'!H30</f>
        <v>0</v>
      </c>
      <c r="K17" s="56" t="str">
        <f>+'Data Entry'!$H$18</f>
        <v>EUR</v>
      </c>
      <c r="L17" s="61"/>
    </row>
    <row r="18" spans="2:14">
      <c r="B18" s="60"/>
      <c r="C18" s="56"/>
      <c r="D18" s="56"/>
      <c r="E18" s="56"/>
      <c r="F18" s="56"/>
      <c r="G18" s="56"/>
      <c r="H18" s="56"/>
      <c r="I18" s="56"/>
      <c r="J18" s="56"/>
      <c r="K18" s="56"/>
      <c r="L18" s="61"/>
    </row>
    <row r="19" spans="2:14">
      <c r="B19" s="60"/>
      <c r="C19" s="56"/>
      <c r="D19" s="56" t="str">
        <f>+'Data Entry'!D24</f>
        <v>General overview:</v>
      </c>
      <c r="E19" s="56"/>
      <c r="F19" s="56"/>
      <c r="G19" s="56"/>
      <c r="H19" s="56" t="str">
        <f>+'Data Entry'!E26</f>
        <v>Air</v>
      </c>
      <c r="I19" s="56"/>
      <c r="J19" s="7">
        <f>+'Data Entry'!H26</f>
        <v>0</v>
      </c>
      <c r="K19" s="56" t="str">
        <f>+'Data Entry'!$H$18</f>
        <v>EUR</v>
      </c>
      <c r="L19" s="61"/>
      <c r="N19" s="75" t="s">
        <v>171</v>
      </c>
    </row>
    <row r="20" spans="2:14">
      <c r="B20" s="60"/>
      <c r="C20" s="56"/>
      <c r="D20" s="56"/>
      <c r="E20" s="56"/>
      <c r="F20" s="56"/>
      <c r="G20" s="56"/>
      <c r="H20" s="56" t="str">
        <f>+'Data Entry'!E27</f>
        <v>Hotel</v>
      </c>
      <c r="I20" s="56"/>
      <c r="J20" s="7">
        <f>+'Data Entry'!H27</f>
        <v>0</v>
      </c>
      <c r="K20" s="56" t="str">
        <f>+'Data Entry'!$H$18</f>
        <v>EUR</v>
      </c>
      <c r="L20" s="61"/>
    </row>
    <row r="21" spans="2:14">
      <c r="B21" s="60"/>
      <c r="C21" s="56"/>
      <c r="D21" s="56"/>
      <c r="E21" s="56"/>
      <c r="F21" s="56"/>
      <c r="G21" s="56"/>
      <c r="H21" s="56" t="str">
        <f>+'Data Entry'!E28</f>
        <v>Rail</v>
      </c>
      <c r="I21" s="56"/>
      <c r="J21" s="7">
        <f>+'Data Entry'!H28</f>
        <v>0</v>
      </c>
      <c r="K21" s="56" t="str">
        <f>+'Data Entry'!$H$18</f>
        <v>EUR</v>
      </c>
      <c r="L21" s="61"/>
    </row>
    <row r="22" spans="2:14">
      <c r="B22" s="60"/>
      <c r="C22" s="56"/>
      <c r="D22" s="56"/>
      <c r="E22" s="56"/>
      <c r="F22" s="56"/>
      <c r="G22" s="56"/>
      <c r="H22" s="56" t="str">
        <f>+'Data Entry'!E29</f>
        <v>Rental car</v>
      </c>
      <c r="I22" s="56"/>
      <c r="J22" s="7">
        <f>+'Data Entry'!H29</f>
        <v>0</v>
      </c>
      <c r="K22" s="56" t="str">
        <f>+'Data Entry'!$H$18</f>
        <v>EUR</v>
      </c>
      <c r="L22" s="61"/>
    </row>
    <row r="23" spans="2:14">
      <c r="B23" s="60"/>
      <c r="C23" s="56"/>
      <c r="D23" s="56"/>
      <c r="E23" s="56"/>
      <c r="F23" s="56"/>
      <c r="G23" s="56"/>
      <c r="H23" s="56"/>
      <c r="I23" s="56"/>
      <c r="J23" s="56"/>
      <c r="K23" s="56"/>
      <c r="L23" s="61"/>
    </row>
    <row r="24" spans="2:14">
      <c r="B24" s="60"/>
      <c r="C24" s="56"/>
      <c r="D24" s="56"/>
      <c r="E24" s="56"/>
      <c r="F24" s="56"/>
      <c r="G24" s="56"/>
      <c r="H24" s="56"/>
      <c r="I24" s="56"/>
      <c r="J24" s="56"/>
      <c r="K24" s="56"/>
      <c r="L24" s="61"/>
    </row>
    <row r="25" spans="2:14" ht="13">
      <c r="B25" s="60"/>
      <c r="C25" s="86" t="str">
        <f>+'Data Entry'!A90</f>
        <v>Section #4</v>
      </c>
      <c r="D25" s="86" t="str">
        <f>+'Data Entry'!B90</f>
        <v>Current travel platform/behaviour</v>
      </c>
      <c r="E25" s="87"/>
      <c r="F25" s="87"/>
      <c r="G25" s="87"/>
      <c r="H25" s="87"/>
      <c r="I25" s="87"/>
      <c r="J25" s="87"/>
      <c r="K25" s="151"/>
      <c r="L25" s="61"/>
    </row>
    <row r="26" spans="2:14">
      <c r="B26" s="60"/>
      <c r="C26" s="56"/>
      <c r="D26" s="56"/>
      <c r="E26" s="56"/>
      <c r="F26" s="56"/>
      <c r="G26" s="56"/>
      <c r="H26" s="56"/>
      <c r="I26" s="56"/>
      <c r="J26" s="56"/>
      <c r="K26" s="56"/>
      <c r="L26" s="61"/>
    </row>
    <row r="27" spans="2:14">
      <c r="B27" s="60"/>
      <c r="C27" s="55" t="s">
        <v>335</v>
      </c>
      <c r="D27" s="56" t="str">
        <f>+'Data Entry'!M142</f>
        <v>(4.1) Savings from less time spent booking and managing travel:</v>
      </c>
      <c r="E27" s="56"/>
      <c r="F27" s="56"/>
      <c r="G27" s="56"/>
      <c r="H27" s="56"/>
      <c r="I27" s="56"/>
      <c r="J27" s="25">
        <f>+'Data Entry'!N142</f>
        <v>0</v>
      </c>
      <c r="K27" s="56" t="str">
        <f>+'Data Entry'!$H$18</f>
        <v>EUR</v>
      </c>
      <c r="L27" s="61"/>
    </row>
    <row r="28" spans="2:14">
      <c r="B28" s="60"/>
      <c r="C28" s="56"/>
      <c r="D28" s="56"/>
      <c r="E28" s="56"/>
      <c r="F28" s="56"/>
      <c r="G28" s="56"/>
      <c r="H28" s="56"/>
      <c r="I28" s="56"/>
      <c r="J28" s="56"/>
      <c r="K28" s="56"/>
      <c r="L28" s="61"/>
    </row>
    <row r="29" spans="2:14">
      <c r="B29" s="60"/>
      <c r="C29" s="56"/>
      <c r="D29" s="56"/>
      <c r="E29" s="56"/>
      <c r="F29" s="56"/>
      <c r="G29" s="56"/>
      <c r="H29" s="56"/>
      <c r="I29" s="56"/>
      <c r="J29" s="56"/>
      <c r="K29" s="56"/>
      <c r="L29" s="61"/>
    </row>
    <row r="30" spans="2:14" ht="13">
      <c r="B30" s="60"/>
      <c r="C30" s="86" t="str">
        <f>+'Data Entry'!A152</f>
        <v>Section #5</v>
      </c>
      <c r="D30" s="86" t="str">
        <f>+'Data Entry'!B152</f>
        <v>Savings from less Travel Agent fees</v>
      </c>
      <c r="E30" s="87"/>
      <c r="F30" s="87"/>
      <c r="G30" s="87"/>
      <c r="H30" s="87"/>
      <c r="I30" s="87"/>
      <c r="J30" s="87"/>
      <c r="K30" s="87"/>
      <c r="L30" s="61"/>
    </row>
    <row r="31" spans="2:14">
      <c r="B31" s="60"/>
      <c r="C31" s="56"/>
      <c r="D31" s="56"/>
      <c r="E31" s="56"/>
      <c r="F31" s="56"/>
      <c r="G31" s="56"/>
      <c r="H31" s="56"/>
      <c r="I31" s="56"/>
      <c r="J31" s="56"/>
      <c r="K31" s="56"/>
      <c r="L31" s="61"/>
    </row>
    <row r="32" spans="2:14">
      <c r="B32" s="60"/>
      <c r="C32" s="55" t="s">
        <v>183</v>
      </c>
      <c r="D32" s="56" t="str">
        <f>+'Data Entry'!M170</f>
        <v>(5.1) Savings from more online bookings (fewer offline bookings with higher fees):</v>
      </c>
      <c r="E32" s="56"/>
      <c r="F32" s="56"/>
      <c r="G32" s="56"/>
      <c r="H32" s="56"/>
      <c r="I32" s="56"/>
      <c r="J32" s="25">
        <f>+'Data Entry'!N170</f>
        <v>0</v>
      </c>
      <c r="K32" s="56" t="str">
        <f>+'Data Entry'!$H$18</f>
        <v>EUR</v>
      </c>
      <c r="L32" s="61"/>
    </row>
    <row r="33" spans="2:17">
      <c r="B33" s="60"/>
      <c r="C33" s="56"/>
      <c r="D33" s="56"/>
      <c r="E33" s="56"/>
      <c r="F33" s="56"/>
      <c r="G33" s="56"/>
      <c r="H33" s="56"/>
      <c r="I33" s="56"/>
      <c r="J33" s="56"/>
      <c r="K33" s="56"/>
      <c r="L33" s="61"/>
    </row>
    <row r="34" spans="2:17">
      <c r="B34" s="60"/>
      <c r="C34" s="55" t="s">
        <v>183</v>
      </c>
      <c r="D34" s="56" t="str">
        <f>+'Data Entry'!M185</f>
        <v>(5.2) Savings from less TMC change fees:</v>
      </c>
      <c r="E34" s="56"/>
      <c r="F34" s="56"/>
      <c r="G34" s="56"/>
      <c r="H34" s="56"/>
      <c r="I34" s="56"/>
      <c r="J34" s="25">
        <f>+'Data Entry'!N185</f>
        <v>0</v>
      </c>
      <c r="K34" s="56" t="str">
        <f>+'Data Entry'!$H$18</f>
        <v>EUR</v>
      </c>
      <c r="L34" s="61"/>
    </row>
    <row r="35" spans="2:17">
      <c r="B35" s="60"/>
      <c r="C35" s="56"/>
      <c r="D35" s="56"/>
      <c r="E35" s="56"/>
      <c r="F35" s="56"/>
      <c r="G35" s="56"/>
      <c r="H35" s="56"/>
      <c r="I35" s="56"/>
      <c r="J35" s="56"/>
      <c r="K35" s="56"/>
      <c r="L35" s="61"/>
    </row>
    <row r="36" spans="2:17">
      <c r="B36" s="60"/>
      <c r="C36" s="55" t="s">
        <v>1</v>
      </c>
      <c r="D36" s="56" t="str">
        <f>+'Data Entry'!M209</f>
        <v>(5.3) Savings from lower online and offline booking fees:</v>
      </c>
      <c r="E36" s="56"/>
      <c r="F36" s="56"/>
      <c r="G36" s="56"/>
      <c r="H36" s="56"/>
      <c r="I36" s="56"/>
      <c r="J36" s="25">
        <f>+'Data Entry'!N209</f>
        <v>0</v>
      </c>
      <c r="K36" s="56" t="str">
        <f>+'Data Entry'!$H$18</f>
        <v>EUR</v>
      </c>
      <c r="L36" s="61"/>
    </row>
    <row r="37" spans="2:17">
      <c r="B37" s="60"/>
      <c r="C37" s="56"/>
      <c r="D37" s="56"/>
      <c r="E37" s="56"/>
      <c r="F37" s="56"/>
      <c r="G37" s="56"/>
      <c r="H37" s="56"/>
      <c r="I37" s="56"/>
      <c r="J37" s="56"/>
      <c r="K37" s="56"/>
      <c r="L37" s="61"/>
    </row>
    <row r="38" spans="2:17">
      <c r="B38" s="60"/>
      <c r="C38" s="55" t="s">
        <v>1</v>
      </c>
      <c r="D38" s="56" t="str">
        <f>+'Data Entry'!M233</f>
        <v>(5.4) Savings from lower online and offline booking fees:</v>
      </c>
      <c r="E38" s="56"/>
      <c r="F38" s="56"/>
      <c r="G38" s="56"/>
      <c r="H38" s="56"/>
      <c r="I38" s="56"/>
      <c r="J38" s="25">
        <f>+'Data Entry'!N233</f>
        <v>0</v>
      </c>
      <c r="K38" s="56" t="str">
        <f>+'Data Entry'!$H$18</f>
        <v>EUR</v>
      </c>
      <c r="L38" s="61"/>
      <c r="Q38" s="106">
        <f>SUM(J32:J38)</f>
        <v>0</v>
      </c>
    </row>
    <row r="39" spans="2:17">
      <c r="B39" s="60"/>
      <c r="C39" s="56"/>
      <c r="D39" s="56"/>
      <c r="E39" s="56"/>
      <c r="F39" s="56"/>
      <c r="G39" s="56"/>
      <c r="H39" s="56"/>
      <c r="I39" s="56"/>
      <c r="J39" s="56"/>
      <c r="K39" s="56"/>
      <c r="L39" s="61"/>
    </row>
    <row r="40" spans="2:17">
      <c r="B40" s="60"/>
      <c r="C40" s="56"/>
      <c r="D40" s="56"/>
      <c r="E40" s="56"/>
      <c r="F40" s="56"/>
      <c r="G40" s="56"/>
      <c r="H40" s="56"/>
      <c r="I40" s="56"/>
      <c r="J40" s="56"/>
      <c r="K40" s="56"/>
      <c r="L40" s="61"/>
    </row>
    <row r="41" spans="2:17" ht="13">
      <c r="B41" s="60"/>
      <c r="C41" s="86" t="str">
        <f>+'Data Entry'!A237</f>
        <v>Section #6</v>
      </c>
      <c r="D41" s="86" t="str">
        <f>+'Data Entry'!B237</f>
        <v>Savings from lower rates and better content</v>
      </c>
      <c r="E41" s="87"/>
      <c r="F41" s="87"/>
      <c r="G41" s="87"/>
      <c r="H41" s="87"/>
      <c r="I41" s="87"/>
      <c r="J41" s="87"/>
      <c r="K41" s="87"/>
      <c r="L41" s="61"/>
    </row>
    <row r="42" spans="2:17">
      <c r="B42" s="60"/>
      <c r="C42" s="56"/>
      <c r="D42" s="56"/>
      <c r="E42" s="56"/>
      <c r="F42" s="56"/>
      <c r="G42" s="56"/>
      <c r="H42" s="56"/>
      <c r="I42" s="56"/>
      <c r="J42" s="56"/>
      <c r="K42" s="56"/>
      <c r="L42" s="61"/>
    </row>
    <row r="43" spans="2:17">
      <c r="B43" s="60"/>
      <c r="C43" s="55" t="s">
        <v>183</v>
      </c>
      <c r="D43" s="56" t="str">
        <f>+'Data Entry'!E241</f>
        <v>(6.1) Lower airfares - better content (GDS, NDC, LCC):</v>
      </c>
      <c r="E43" s="56"/>
      <c r="F43" s="56"/>
      <c r="G43" s="56"/>
      <c r="H43" s="56"/>
      <c r="I43" s="56"/>
      <c r="J43" s="25">
        <f>+'Data Entry'!N244</f>
        <v>0</v>
      </c>
      <c r="K43" s="56" t="str">
        <f>+'Data Entry'!$H$18</f>
        <v>EUR</v>
      </c>
      <c r="L43" s="61"/>
    </row>
    <row r="44" spans="2:17">
      <c r="B44" s="60"/>
      <c r="C44" s="56"/>
      <c r="D44" s="56"/>
      <c r="E44" s="56"/>
      <c r="F44" s="56"/>
      <c r="G44" s="56"/>
      <c r="H44" s="56"/>
      <c r="I44" s="56"/>
      <c r="J44" s="56"/>
      <c r="K44" s="56"/>
      <c r="L44" s="61"/>
    </row>
    <row r="45" spans="2:17">
      <c r="B45" s="60"/>
      <c r="C45" s="55" t="s">
        <v>1</v>
      </c>
      <c r="D45" s="56" t="str">
        <f>+'Data Entry'!E247</f>
        <v>(6.2) Lower hotel rates - leveraging corporate rates:</v>
      </c>
      <c r="E45" s="56"/>
      <c r="F45" s="56"/>
      <c r="G45" s="56"/>
      <c r="H45" s="56"/>
      <c r="I45" s="56"/>
      <c r="J45" s="25">
        <f>+'Data Entry'!N250</f>
        <v>0</v>
      </c>
      <c r="K45" s="56" t="str">
        <f>+'Data Entry'!$H$18</f>
        <v>EUR</v>
      </c>
      <c r="L45" s="61"/>
    </row>
    <row r="46" spans="2:17">
      <c r="B46" s="60"/>
      <c r="C46" s="56"/>
      <c r="D46" s="56"/>
      <c r="E46" s="56"/>
      <c r="F46" s="56"/>
      <c r="G46" s="56"/>
      <c r="H46" s="56"/>
      <c r="I46" s="56"/>
      <c r="J46" s="56"/>
      <c r="K46" s="56"/>
      <c r="L46" s="61"/>
    </row>
    <row r="47" spans="2:17">
      <c r="B47" s="60"/>
      <c r="C47" s="56"/>
      <c r="D47" s="56"/>
      <c r="E47" s="56"/>
      <c r="F47" s="56"/>
      <c r="G47" s="56"/>
      <c r="H47" s="56"/>
      <c r="I47" s="56"/>
      <c r="J47" s="56"/>
      <c r="K47" s="56"/>
      <c r="L47" s="61"/>
    </row>
    <row r="48" spans="2:17" ht="13">
      <c r="B48" s="60"/>
      <c r="C48" s="86" t="str">
        <f>+'Data Entry'!A254</f>
        <v>Section #7</v>
      </c>
      <c r="D48" s="86" t="str">
        <f>+'Data Entry'!B254</f>
        <v>Savings from less internal time and external consultants on ESG reporting</v>
      </c>
      <c r="E48" s="87"/>
      <c r="F48" s="87"/>
      <c r="G48" s="87"/>
      <c r="H48" s="87"/>
      <c r="I48" s="87"/>
      <c r="J48" s="87"/>
      <c r="K48" s="87"/>
      <c r="L48" s="61"/>
    </row>
    <row r="49" spans="2:12">
      <c r="B49" s="60"/>
      <c r="C49" s="56"/>
      <c r="D49" s="56"/>
      <c r="E49" s="56"/>
      <c r="F49" s="56"/>
      <c r="G49" s="56"/>
      <c r="H49" s="56"/>
      <c r="I49" s="56"/>
      <c r="J49" s="56"/>
      <c r="K49" s="56"/>
      <c r="L49" s="61"/>
    </row>
    <row r="50" spans="2:12">
      <c r="B50" s="60"/>
      <c r="C50" s="55" t="s">
        <v>332</v>
      </c>
      <c r="D50" s="56" t="str">
        <f>+'Data Entry'!M284</f>
        <v>(7.1) Total savings on ESG reporting:</v>
      </c>
      <c r="E50" s="56"/>
      <c r="F50" s="56"/>
      <c r="G50" s="56"/>
      <c r="H50" s="56"/>
      <c r="I50" s="56"/>
      <c r="J50" s="25">
        <f>+'Data Entry'!N284</f>
        <v>0</v>
      </c>
      <c r="K50" s="56" t="str">
        <f>+'Data Entry'!$H$18</f>
        <v>EUR</v>
      </c>
      <c r="L50" s="61"/>
    </row>
    <row r="51" spans="2:12">
      <c r="B51" s="60"/>
      <c r="C51" s="56"/>
      <c r="D51" s="56"/>
      <c r="E51" s="56"/>
      <c r="F51" s="56"/>
      <c r="G51" s="56"/>
      <c r="H51" s="56"/>
      <c r="I51" s="56"/>
      <c r="J51" s="56"/>
      <c r="K51" s="56"/>
      <c r="L51" s="61"/>
    </row>
    <row r="52" spans="2:12">
      <c r="B52" s="60"/>
      <c r="C52" s="56"/>
      <c r="D52" s="56"/>
      <c r="E52" s="56"/>
      <c r="F52" s="56"/>
      <c r="G52" s="56"/>
      <c r="H52" s="56"/>
      <c r="I52" s="56"/>
      <c r="J52" s="56"/>
      <c r="K52" s="56"/>
      <c r="L52" s="61"/>
    </row>
    <row r="53" spans="2:12" ht="13">
      <c r="B53" s="60"/>
      <c r="C53" s="86" t="str">
        <f>+'Data Entry'!A288</f>
        <v>Section #8</v>
      </c>
      <c r="D53" s="86" t="str">
        <f>+'Data Entry'!B288</f>
        <v>Cost avoidance from biobased jet fuel paid by Goodwings and CO2 reductions from behavioural changes</v>
      </c>
      <c r="E53" s="87"/>
      <c r="F53" s="87"/>
      <c r="G53" s="87"/>
      <c r="H53" s="87"/>
      <c r="I53" s="87"/>
      <c r="J53" s="87"/>
      <c r="K53" s="87"/>
      <c r="L53" s="61"/>
    </row>
    <row r="54" spans="2:12">
      <c r="B54" s="60"/>
      <c r="C54" s="56"/>
      <c r="D54" s="56"/>
      <c r="E54" s="56"/>
      <c r="F54" s="56"/>
      <c r="G54" s="56"/>
      <c r="H54" s="56"/>
      <c r="I54" s="56"/>
      <c r="J54" s="56"/>
      <c r="K54" s="56"/>
      <c r="L54" s="61"/>
    </row>
    <row r="55" spans="2:12">
      <c r="B55" s="60"/>
      <c r="C55" s="55" t="s">
        <v>333</v>
      </c>
      <c r="D55" s="55" t="str">
        <f>+'Data Entry'!F322</f>
        <v>(8.1) Total number of CO2 tons reduced:</v>
      </c>
      <c r="E55" s="56"/>
      <c r="F55" s="56"/>
      <c r="G55" s="56"/>
      <c r="H55" s="56"/>
      <c r="I55" s="56"/>
      <c r="J55" s="25">
        <f>IF('Data Entry'!I290="no",0,+'Data Entry'!N298+'Data Entry'!M311)</f>
        <v>0</v>
      </c>
      <c r="K55" s="56" t="s">
        <v>209</v>
      </c>
      <c r="L55" s="61"/>
    </row>
    <row r="56" spans="2:12">
      <c r="B56" s="60"/>
      <c r="C56" s="56"/>
      <c r="D56" s="56"/>
      <c r="E56" s="56"/>
      <c r="F56" s="56"/>
      <c r="G56" s="56"/>
      <c r="H56" s="56"/>
      <c r="I56" s="56"/>
      <c r="J56" s="56"/>
      <c r="K56" s="56"/>
      <c r="L56" s="61"/>
    </row>
    <row r="57" spans="2:12">
      <c r="B57" s="60"/>
      <c r="C57" s="55" t="s">
        <v>334</v>
      </c>
      <c r="D57" s="56" t="str">
        <f>+'Data Entry'!M322</f>
        <v>(8.2) Total SAF savings:</v>
      </c>
      <c r="E57" s="56"/>
      <c r="F57" s="56"/>
      <c r="G57" s="56"/>
      <c r="H57" s="56"/>
      <c r="I57" s="56"/>
      <c r="J57" s="25">
        <f>IF('Data Entry'!I290="no",0,+'Data Entry'!N322)</f>
        <v>0</v>
      </c>
      <c r="K57" s="56" t="str">
        <f>+'Data Entry'!$H$18</f>
        <v>EUR</v>
      </c>
      <c r="L57" s="61"/>
    </row>
    <row r="58" spans="2:12">
      <c r="B58" s="60"/>
      <c r="C58" s="56"/>
      <c r="D58" s="56"/>
      <c r="E58" s="56"/>
      <c r="F58" s="56"/>
      <c r="G58" s="56"/>
      <c r="H58" s="56"/>
      <c r="I58" s="56"/>
      <c r="J58" s="56"/>
      <c r="K58" s="56"/>
      <c r="L58" s="61"/>
    </row>
    <row r="59" spans="2:12">
      <c r="B59" s="60"/>
      <c r="C59" s="56"/>
      <c r="D59" s="56"/>
      <c r="E59" s="56"/>
      <c r="F59" s="56"/>
      <c r="G59" s="56"/>
      <c r="H59" s="56"/>
      <c r="I59" s="56"/>
      <c r="J59" s="56"/>
      <c r="K59" s="56"/>
      <c r="L59" s="61"/>
    </row>
    <row r="60" spans="2:12" ht="13">
      <c r="B60" s="82"/>
      <c r="C60" s="83"/>
      <c r="D60" s="83"/>
      <c r="E60" s="84"/>
      <c r="F60" s="84"/>
      <c r="G60" s="84"/>
      <c r="H60" s="84"/>
      <c r="I60" s="84"/>
      <c r="J60" s="84"/>
      <c r="K60" s="84"/>
      <c r="L60" s="85"/>
    </row>
    <row r="61" spans="2:12">
      <c r="B61" s="60"/>
      <c r="C61" s="56"/>
      <c r="D61" s="56"/>
      <c r="E61" s="56"/>
      <c r="F61" s="56"/>
      <c r="G61" s="56"/>
      <c r="H61" s="56"/>
      <c r="I61" s="56"/>
      <c r="J61" s="56"/>
      <c r="K61" s="56"/>
      <c r="L61" s="61"/>
    </row>
    <row r="62" spans="2:12">
      <c r="B62" s="60"/>
      <c r="C62" s="56"/>
      <c r="D62" s="56"/>
      <c r="E62" s="56"/>
      <c r="F62" s="56"/>
      <c r="G62" s="56"/>
      <c r="H62" s="56"/>
      <c r="I62" s="56"/>
      <c r="J62" s="56"/>
      <c r="K62" s="56"/>
      <c r="L62" s="61"/>
    </row>
    <row r="63" spans="2:12">
      <c r="B63" s="60"/>
      <c r="C63" s="56"/>
      <c r="D63" s="56"/>
      <c r="E63" s="56"/>
      <c r="F63" s="56"/>
      <c r="G63" s="56"/>
      <c r="H63" s="56"/>
      <c r="I63" s="56"/>
      <c r="J63" s="56"/>
      <c r="K63" s="56"/>
      <c r="L63" s="61"/>
    </row>
    <row r="64" spans="2:12">
      <c r="B64" s="62"/>
      <c r="C64" s="64"/>
      <c r="D64" s="64"/>
      <c r="E64" s="64"/>
      <c r="F64" s="64"/>
      <c r="G64" s="64"/>
      <c r="H64" s="64"/>
      <c r="I64" s="64"/>
      <c r="J64" s="64"/>
      <c r="K64" s="64"/>
      <c r="L64" s="63"/>
    </row>
    <row r="65" s="72" customFormat="1"/>
    <row r="66" s="72" customFormat="1"/>
    <row r="67" s="72" customFormat="1"/>
    <row r="68" s="72" customFormat="1"/>
    <row r="69" s="72" customFormat="1"/>
    <row r="70" s="72" customFormat="1"/>
    <row r="71" s="72" customFormat="1"/>
    <row r="72" s="72" customFormat="1"/>
    <row r="73" s="72" customFormat="1"/>
    <row r="74" s="72" customFormat="1"/>
    <row r="75" s="72" customFormat="1"/>
    <row r="76" s="72" customFormat="1"/>
    <row r="77" s="72" customFormat="1"/>
    <row r="78" s="72" customFormat="1"/>
    <row r="79" s="72" customFormat="1"/>
    <row r="80" s="72" customFormat="1"/>
    <row r="81" s="72" customFormat="1"/>
    <row r="82" s="72" customFormat="1"/>
    <row r="83" s="72" customFormat="1"/>
    <row r="84" s="72" customFormat="1"/>
    <row r="85" s="72" customFormat="1"/>
    <row r="86" s="72" customFormat="1"/>
    <row r="87" s="72" customFormat="1"/>
    <row r="88" s="72" customFormat="1"/>
    <row r="89" s="72" customFormat="1"/>
    <row r="90" s="72" customFormat="1"/>
    <row r="91" s="72" customFormat="1"/>
    <row r="92" s="72" customFormat="1"/>
    <row r="93" s="72" customFormat="1"/>
    <row r="94" s="72" customFormat="1"/>
    <row r="95" s="72" customFormat="1"/>
    <row r="96" s="72" customFormat="1"/>
    <row r="97" s="72" customFormat="1"/>
    <row r="98" s="72" customFormat="1"/>
    <row r="99" s="72" customFormat="1"/>
    <row r="100" s="72" customFormat="1"/>
    <row r="101" s="72" customFormat="1"/>
    <row r="102" s="72" customFormat="1"/>
    <row r="103" s="72" customFormat="1"/>
    <row r="104" s="72" customFormat="1"/>
    <row r="105" s="72" customFormat="1"/>
    <row r="106" s="72" customFormat="1"/>
    <row r="107" s="72" customFormat="1"/>
    <row r="108" s="72" customFormat="1"/>
    <row r="109" s="72" customFormat="1"/>
    <row r="110" s="72" customFormat="1"/>
    <row r="111" s="72" customFormat="1"/>
    <row r="112" s="72" customFormat="1"/>
    <row r="113" s="72" customFormat="1"/>
    <row r="114" s="72" customFormat="1"/>
    <row r="115" s="72" customFormat="1"/>
    <row r="116" s="72" customFormat="1"/>
    <row r="117" s="72" customFormat="1"/>
    <row r="118" s="72" customFormat="1"/>
    <row r="119" s="72" customFormat="1"/>
    <row r="120" s="72" customFormat="1"/>
    <row r="121" s="72" customFormat="1"/>
    <row r="122" s="72" customFormat="1"/>
    <row r="123" s="72" customFormat="1"/>
    <row r="124" s="72" customFormat="1"/>
    <row r="125" s="72" customFormat="1"/>
    <row r="126" s="72" customFormat="1"/>
    <row r="127" s="72" customFormat="1"/>
    <row r="128" s="72" customFormat="1"/>
    <row r="129" s="72" customFormat="1"/>
    <row r="130" s="72" customFormat="1"/>
    <row r="131" s="72" customFormat="1"/>
    <row r="132" s="72" customFormat="1"/>
    <row r="133" s="72" customFormat="1"/>
    <row r="134" s="72" customFormat="1"/>
    <row r="135" s="72" customFormat="1"/>
    <row r="136" s="72" customFormat="1"/>
    <row r="137" s="72" customFormat="1"/>
    <row r="138" s="72" customFormat="1"/>
    <row r="139" s="72" customFormat="1"/>
    <row r="140" s="72" customFormat="1"/>
    <row r="141" s="72" customFormat="1"/>
    <row r="142" s="72" customFormat="1"/>
    <row r="143" s="72" customFormat="1"/>
    <row r="144" s="72" customFormat="1"/>
    <row r="145" s="72" customFormat="1"/>
    <row r="146" s="72" customFormat="1"/>
    <row r="147" s="72" customFormat="1"/>
    <row r="148" s="72" customFormat="1"/>
    <row r="149" s="72" customFormat="1"/>
    <row r="150" s="72" customFormat="1"/>
    <row r="151" s="72" customFormat="1"/>
    <row r="152" s="72" customFormat="1"/>
    <row r="153" s="72" customFormat="1"/>
    <row r="154" s="72" customFormat="1"/>
    <row r="155" s="72" customFormat="1"/>
    <row r="156" s="72" customFormat="1"/>
    <row r="157" s="72" customFormat="1"/>
    <row r="158" s="72" customFormat="1"/>
    <row r="159" s="72" customFormat="1"/>
    <row r="160" s="72" customFormat="1"/>
    <row r="161" s="72" customFormat="1"/>
    <row r="162" s="72" customFormat="1"/>
    <row r="163" s="72" customFormat="1"/>
    <row r="164" s="72" customFormat="1"/>
    <row r="165" s="72" customFormat="1"/>
    <row r="166" s="72" customFormat="1"/>
    <row r="167" s="72" customFormat="1"/>
    <row r="168" s="72" customFormat="1"/>
    <row r="169" s="72" customFormat="1"/>
    <row r="170" s="72" customFormat="1"/>
    <row r="171" s="72" customFormat="1"/>
    <row r="172" s="72" customFormat="1"/>
    <row r="173" s="72" customFormat="1"/>
    <row r="174" s="72" customFormat="1"/>
    <row r="175" s="72" customFormat="1"/>
    <row r="176" s="72" customFormat="1"/>
    <row r="177" s="72" customFormat="1"/>
  </sheetData>
  <conditionalFormatting sqref="J55 J57 J27 J32 J34 J36 J38 J43 J45 J50">
    <cfRule type="cellIs" dxfId="71" priority="10" operator="lessThan">
      <formula>0</formula>
    </cfRule>
  </conditionalFormatting>
  <hyperlinks>
    <hyperlink ref="N16" r:id="rId1" display="Book a free session here 👇" xr:uid="{25E1BE1E-B41F-5D42-A052-26FDED409683}"/>
  </hyperlinks>
  <pageMargins left="0.7" right="0.7" top="0.75" bottom="0.75" header="0.3" footer="0.3"/>
  <pageSetup paperSize="9" scale="46" orientation="portrait" horizontalDpi="300" verticalDpi="300" r:id="rId2"/>
  <drawing r:id="rId3"/>
  <extLst>
    <ext xmlns:x14="http://schemas.microsoft.com/office/spreadsheetml/2009/9/main" uri="{78C0D931-6437-407d-A8EE-F0AAD7539E65}">
      <x14:conditionalFormattings>
        <x14:conditionalFormatting xmlns:xm="http://schemas.microsoft.com/office/excel/2006/main">
          <x14:cfRule type="expression" priority="3" id="{DCCD3066-4B89-475A-BF9D-E338B7002C4E}">
            <xm:f>'Data Entry'!$I$290="no"</xm:f>
            <x14:dxf>
              <font>
                <color theme="0"/>
              </font>
              <fill>
                <patternFill>
                  <bgColor theme="0"/>
                </patternFill>
              </fill>
              <border>
                <left/>
                <right/>
                <top/>
                <bottom/>
                <vertical/>
                <horizontal/>
              </border>
            </x14:dxf>
          </x14:cfRule>
          <xm:sqref>A56:M64</xm:sqref>
        </x14:conditionalFormatting>
        <x14:conditionalFormatting xmlns:xm="http://schemas.microsoft.com/office/excel/2006/main">
          <x14:cfRule type="expression" priority="6" id="{5074ED5E-A909-47F5-97F0-9CD67029CFA7}">
            <xm:f>'Data Entry'!$I$290="no"</xm:f>
            <x14:dxf>
              <border>
                <left style="thin">
                  <color auto="1"/>
                </left>
                <bottom style="thin">
                  <color auto="1"/>
                </bottom>
                <vertical/>
                <horizontal/>
              </border>
            </x14:dxf>
          </x14:cfRule>
          <xm:sqref>B55</xm:sqref>
        </x14:conditionalFormatting>
        <x14:conditionalFormatting xmlns:xm="http://schemas.microsoft.com/office/excel/2006/main">
          <x14:cfRule type="expression" priority="9" id="{D603B9C6-E02D-4FFF-BD2A-50A4AE91BED5}">
            <xm:f>'Data Entry'!$I$290="no"</xm:f>
            <x14:dxf>
              <fill>
                <patternFill>
                  <bgColor rgb="FF00B050"/>
                </patternFill>
              </fill>
            </x14:dxf>
          </x14:cfRule>
          <xm:sqref>B52:L52</xm:sqref>
        </x14:conditionalFormatting>
        <x14:conditionalFormatting xmlns:xm="http://schemas.microsoft.com/office/excel/2006/main">
          <x14:cfRule type="expression" priority="8" id="{3BA7F855-8CCE-4DDE-937C-6E077C7A9BD3}">
            <xm:f>'Data Entry'!$I$290="no"</xm:f>
            <x14:dxf>
              <font>
                <color theme="0" tint="-4.9989318521683403E-2"/>
              </font>
              <fill>
                <patternFill>
                  <bgColor theme="0" tint="-4.9989318521683403E-2"/>
                </patternFill>
              </fill>
            </x14:dxf>
          </x14:cfRule>
          <xm:sqref>B53:L56</xm:sqref>
        </x14:conditionalFormatting>
        <x14:conditionalFormatting xmlns:xm="http://schemas.microsoft.com/office/excel/2006/main">
          <x14:cfRule type="expression" priority="4" id="{0CEEAD63-CFD5-4B6E-BAB4-F95C5B0EFD0C}">
            <xm:f>'Data Entry'!$I$290="no"</xm:f>
            <x14:dxf>
              <border>
                <bottom style="thin">
                  <color auto="1"/>
                </bottom>
                <vertical/>
                <horizontal/>
              </border>
            </x14:dxf>
          </x14:cfRule>
          <xm:sqref>C55:K55</xm:sqref>
        </x14:conditionalFormatting>
        <x14:conditionalFormatting xmlns:xm="http://schemas.microsoft.com/office/excel/2006/main">
          <x14:cfRule type="expression" priority="7" id="{4753B49E-040A-4A70-9A3F-79B776F6BCEC}">
            <xm:f>'Data Entry'!$I$290="no"</xm:f>
            <x14:dxf>
              <border>
                <left/>
                <right/>
                <top/>
                <bottom/>
                <vertical/>
                <horizontal/>
              </border>
            </x14:dxf>
          </x14:cfRule>
          <xm:sqref>J55</xm:sqref>
        </x14:conditionalFormatting>
        <x14:conditionalFormatting xmlns:xm="http://schemas.microsoft.com/office/excel/2006/main">
          <x14:cfRule type="expression" priority="5" id="{5169F21D-00F1-4F1C-8C0C-E3C3117B41E4}">
            <xm:f>'Data Entry'!$I$290="no"</xm:f>
            <x14:dxf>
              <border>
                <right style="thin">
                  <color auto="1"/>
                </right>
                <bottom style="thin">
                  <color auto="1"/>
                </bottom>
                <vertical/>
                <horizontal/>
              </border>
            </x14:dxf>
          </x14:cfRule>
          <xm:sqref>L55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tabColor theme="4" tint="0.59999389629810485"/>
    <outlinePr summaryBelow="0" summaryRight="0"/>
    <pageSetUpPr fitToPage="1"/>
  </sheetPr>
  <dimension ref="A1:CE432"/>
  <sheetViews>
    <sheetView zoomScale="85" zoomScaleNormal="85" workbookViewId="0">
      <pane ySplit="7" topLeftCell="A8" activePane="bottomLeft" state="frozen"/>
      <selection pane="bottomLeft"/>
    </sheetView>
  </sheetViews>
  <sheetFormatPr defaultColWidth="12.6328125" defaultRowHeight="12.5"/>
  <cols>
    <col min="2" max="2" width="16.1796875" customWidth="1"/>
    <col min="4" max="4" width="13.453125" customWidth="1"/>
    <col min="5" max="5" width="13.1796875" customWidth="1"/>
    <col min="6" max="6" width="13.81640625" customWidth="1"/>
    <col min="7" max="7" width="14.81640625" customWidth="1"/>
    <col min="8" max="8" width="14.54296875" customWidth="1"/>
    <col min="9" max="9" width="13.1796875" customWidth="1"/>
    <col min="10" max="10" width="7.7265625" customWidth="1"/>
    <col min="12" max="12" width="2.6328125" customWidth="1"/>
    <col min="13" max="13" width="11.453125" customWidth="1"/>
    <col min="14" max="14" width="16.1796875" customWidth="1"/>
    <col min="15" max="15" width="9.81640625" customWidth="1"/>
    <col min="16" max="16" width="14.08984375" customWidth="1"/>
    <col min="17" max="18" width="12.6328125" hidden="1" customWidth="1"/>
    <col min="19" max="19" width="14.6328125" hidden="1" customWidth="1"/>
    <col min="20" max="20" width="12.6328125" hidden="1" customWidth="1"/>
    <col min="21" max="21" width="12.6328125" style="41" hidden="1" customWidth="1"/>
    <col min="22" max="22" width="7.81640625" style="41" hidden="1" customWidth="1"/>
    <col min="23" max="23" width="14.90625" style="41" hidden="1" customWidth="1"/>
    <col min="24" max="25" width="12.6328125" style="41" hidden="1" customWidth="1"/>
    <col min="26" max="26" width="12.6328125" style="153" hidden="1" customWidth="1"/>
    <col min="27" max="34" width="12.6328125" hidden="1" customWidth="1"/>
    <col min="35" max="35" width="1.90625" hidden="1" customWidth="1"/>
    <col min="36" max="52" width="12.6328125" style="72" hidden="1" customWidth="1"/>
    <col min="53" max="83" width="12.6328125" style="72"/>
  </cols>
  <sheetData>
    <row r="1" spans="1:83" s="72" customFormat="1">
      <c r="B1" s="204"/>
      <c r="Z1" s="153"/>
    </row>
    <row r="2" spans="1:83" s="72" customFormat="1">
      <c r="Z2" s="153"/>
    </row>
    <row r="3" spans="1:83" s="72" customFormat="1" ht="18">
      <c r="E3" s="73"/>
      <c r="M3" s="73" t="s">
        <v>182</v>
      </c>
      <c r="Z3" s="153"/>
    </row>
    <row r="4" spans="1:83" s="72" customFormat="1" ht="13.5" thickBot="1">
      <c r="E4" s="88" t="s">
        <v>181</v>
      </c>
      <c r="F4" s="88"/>
      <c r="G4" s="71">
        <f>'Business Value Summary'!J11</f>
        <v>0</v>
      </c>
      <c r="H4" s="88" t="str">
        <f>+'Data Entry'!$H$18</f>
        <v>EUR</v>
      </c>
      <c r="M4" s="74"/>
      <c r="Z4" s="153"/>
    </row>
    <row r="5" spans="1:83" s="72" customFormat="1" ht="13.5" thickTop="1">
      <c r="E5" s="74"/>
      <c r="M5" s="76" t="s">
        <v>212</v>
      </c>
      <c r="Z5" s="153"/>
    </row>
    <row r="6" spans="1:83" s="72" customFormat="1">
      <c r="Z6" s="153"/>
    </row>
    <row r="7" spans="1:83" s="72" customFormat="1">
      <c r="Z7" s="153"/>
    </row>
    <row r="8" spans="1:83" s="72" customFormat="1" ht="16" customHeight="1">
      <c r="U8" s="72" t="s">
        <v>116</v>
      </c>
      <c r="Z8" s="153"/>
    </row>
    <row r="9" spans="1:83" s="72" customFormat="1" ht="17" customHeight="1">
      <c r="C9" s="75" t="s">
        <v>213</v>
      </c>
      <c r="D9" s="93"/>
      <c r="E9" s="91" t="s">
        <v>0</v>
      </c>
      <c r="V9" s="72" t="s">
        <v>20</v>
      </c>
      <c r="Z9" s="153"/>
    </row>
    <row r="10" spans="1:83" s="72" customFormat="1" ht="17" customHeight="1">
      <c r="C10" s="75" t="s">
        <v>214</v>
      </c>
      <c r="D10" s="94"/>
      <c r="E10" s="90" t="s">
        <v>197</v>
      </c>
      <c r="M10" s="75" t="s">
        <v>171</v>
      </c>
      <c r="Z10" s="153"/>
    </row>
    <row r="11" spans="1:83" s="72" customFormat="1" ht="17" customHeight="1">
      <c r="C11" s="75" t="s">
        <v>215</v>
      </c>
      <c r="D11" s="95"/>
      <c r="E11" s="90" t="s">
        <v>196</v>
      </c>
      <c r="Z11" s="153"/>
    </row>
    <row r="12" spans="1:83" s="72" customFormat="1" ht="9" customHeight="1">
      <c r="Z12" s="153"/>
    </row>
    <row r="13" spans="1:83" s="72" customFormat="1" ht="17" customHeight="1">
      <c r="C13" s="72" t="s">
        <v>17</v>
      </c>
      <c r="D13" s="96"/>
      <c r="E13" s="90" t="s">
        <v>198</v>
      </c>
      <c r="Z13" s="153"/>
    </row>
    <row r="14" spans="1:83" s="72" customFormat="1">
      <c r="E14" s="90"/>
      <c r="Z14" s="153"/>
    </row>
    <row r="15" spans="1:83" s="52" customFormat="1" ht="7" customHeight="1">
      <c r="M15" s="53"/>
      <c r="N15" s="54"/>
      <c r="Z15" s="153"/>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row>
    <row r="16" spans="1:83" s="107" customFormat="1" ht="17" customHeight="1">
      <c r="A16" s="107" t="s">
        <v>2</v>
      </c>
      <c r="B16" s="107" t="s">
        <v>190</v>
      </c>
      <c r="Z16" s="154"/>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row>
    <row r="17" spans="1:35" s="72" customFormat="1">
      <c r="A17" s="75"/>
      <c r="B17" s="75"/>
      <c r="Z17" s="153"/>
    </row>
    <row r="18" spans="1:35" s="72" customFormat="1" ht="13">
      <c r="A18" s="75"/>
      <c r="B18" s="75"/>
      <c r="D18" s="74" t="s">
        <v>242</v>
      </c>
      <c r="F18" s="90"/>
      <c r="H18" s="113" t="s">
        <v>38</v>
      </c>
      <c r="I18" s="161" t="s">
        <v>252</v>
      </c>
      <c r="Z18" s="153"/>
    </row>
    <row r="19" spans="1:35" s="72" customFormat="1" ht="9" customHeight="1">
      <c r="A19" s="75"/>
      <c r="B19" s="75"/>
      <c r="D19" s="74"/>
      <c r="E19" s="74"/>
      <c r="F19" s="90"/>
      <c r="Z19" s="153"/>
    </row>
    <row r="20" spans="1:35" s="72" customFormat="1">
      <c r="A20" s="75"/>
      <c r="B20" s="75"/>
      <c r="Z20" s="153"/>
    </row>
    <row r="21" spans="1:35" s="72" customFormat="1">
      <c r="H21" s="100" t="s">
        <v>270</v>
      </c>
      <c r="I21" s="98"/>
      <c r="K21" s="100" t="s">
        <v>338</v>
      </c>
      <c r="M21" s="100" t="s">
        <v>12</v>
      </c>
      <c r="N21" s="97" t="s">
        <v>10</v>
      </c>
      <c r="P21" s="101" t="s">
        <v>10</v>
      </c>
      <c r="Q21" s="101"/>
      <c r="V21" s="72" t="s">
        <v>21</v>
      </c>
      <c r="W21" s="72" t="s">
        <v>6</v>
      </c>
      <c r="X21" s="72" t="s">
        <v>22</v>
      </c>
      <c r="Z21" s="153"/>
    </row>
    <row r="22" spans="1:35" ht="15" customHeight="1">
      <c r="A22" s="72"/>
      <c r="B22" s="72"/>
      <c r="C22" s="72"/>
      <c r="D22" s="91" t="s">
        <v>210</v>
      </c>
      <c r="E22" s="72"/>
      <c r="F22" s="72"/>
      <c r="G22" s="72"/>
      <c r="H22" s="175">
        <v>0</v>
      </c>
      <c r="I22" s="98" t="str">
        <f>+$H$18</f>
        <v>EUR</v>
      </c>
      <c r="J22" s="72"/>
      <c r="K22" s="99" t="s">
        <v>80</v>
      </c>
      <c r="L22" s="72"/>
      <c r="M22" s="100" t="s">
        <v>77</v>
      </c>
      <c r="N22" s="97" t="s">
        <v>11</v>
      </c>
      <c r="O22" s="72"/>
      <c r="P22" s="101" t="s">
        <v>75</v>
      </c>
      <c r="Q22" s="101"/>
      <c r="Z22" s="155" t="s">
        <v>237</v>
      </c>
      <c r="AC22" s="75" t="s">
        <v>272</v>
      </c>
      <c r="AE22" s="72"/>
      <c r="AF22" s="72"/>
      <c r="AG22" s="72"/>
      <c r="AH22" s="72"/>
      <c r="AI22" s="72"/>
    </row>
    <row r="23" spans="1:35" s="72" customFormat="1" ht="13">
      <c r="H23" s="108" t="s">
        <v>266</v>
      </c>
      <c r="I23" s="98"/>
      <c r="K23" s="75" t="s">
        <v>273</v>
      </c>
      <c r="Z23" s="155" t="s">
        <v>238</v>
      </c>
      <c r="AC23" s="98">
        <v>7.5</v>
      </c>
      <c r="AD23" s="98">
        <v>10</v>
      </c>
      <c r="AE23" s="98">
        <v>10</v>
      </c>
      <c r="AF23" s="98">
        <v>1</v>
      </c>
      <c r="AG23" s="98">
        <v>1.1000000000000001</v>
      </c>
      <c r="AH23" s="98">
        <v>0.9</v>
      </c>
    </row>
    <row r="24" spans="1:35" s="72" customFormat="1" ht="13">
      <c r="D24" s="74" t="s">
        <v>208</v>
      </c>
      <c r="F24" s="75" t="s">
        <v>271</v>
      </c>
      <c r="I24" s="98"/>
      <c r="Z24" s="155" t="s">
        <v>239</v>
      </c>
      <c r="AC24" s="115" t="s">
        <v>237</v>
      </c>
      <c r="AD24" s="115" t="s">
        <v>238</v>
      </c>
      <c r="AE24" s="115" t="s">
        <v>239</v>
      </c>
      <c r="AF24" s="115" t="s">
        <v>38</v>
      </c>
      <c r="AG24" s="115" t="s">
        <v>240</v>
      </c>
      <c r="AH24" s="115" t="s">
        <v>241</v>
      </c>
    </row>
    <row r="25" spans="1:35" s="72" customFormat="1">
      <c r="F25" s="75" t="s">
        <v>267</v>
      </c>
      <c r="H25" s="174" t="s">
        <v>22</v>
      </c>
      <c r="I25" s="115" t="s">
        <v>269</v>
      </c>
      <c r="K25" s="97" t="str">
        <f>+$H$18</f>
        <v>EUR</v>
      </c>
      <c r="Z25" s="155" t="s">
        <v>38</v>
      </c>
      <c r="AC25" s="98"/>
      <c r="AD25" s="98"/>
      <c r="AE25" s="98"/>
      <c r="AF25" s="98"/>
      <c r="AG25" s="98"/>
      <c r="AH25" s="98"/>
    </row>
    <row r="26" spans="1:35">
      <c r="A26" s="72"/>
      <c r="B26" s="72"/>
      <c r="C26" s="72"/>
      <c r="E26" s="75" t="s">
        <v>183</v>
      </c>
      <c r="F26" s="124"/>
      <c r="G26" s="72" t="str">
        <f>+$H$18</f>
        <v>EUR</v>
      </c>
      <c r="H26" s="7">
        <f>IF(F30&lt;&gt;0,F26,H$22*I26)</f>
        <v>0</v>
      </c>
      <c r="I26" s="180">
        <v>0.6</v>
      </c>
      <c r="J26" s="72"/>
      <c r="K26" s="18">
        <f>HLOOKUP(K$25,$AC$24:$AH$29,AB26,FALSE)</f>
        <v>200</v>
      </c>
      <c r="L26" s="72"/>
      <c r="M26" s="13">
        <v>1</v>
      </c>
      <c r="N26" s="6">
        <f>SUM(H26/K26)/M26</f>
        <v>0</v>
      </c>
      <c r="O26" s="72"/>
      <c r="R26" s="72"/>
      <c r="V26" s="159">
        <f>SUM(I26:I29)</f>
        <v>1</v>
      </c>
      <c r="W26" s="41">
        <f>IF(V26=1,1,9)</f>
        <v>1</v>
      </c>
      <c r="X26" s="72" t="str">
        <f>IF(W26=1,"OK","Error")</f>
        <v>OK</v>
      </c>
      <c r="Z26" s="155" t="s">
        <v>240</v>
      </c>
      <c r="AB26">
        <v>3</v>
      </c>
      <c r="AC26" s="176">
        <f>SUM($AF26*AC$23)</f>
        <v>1500</v>
      </c>
      <c r="AD26" s="176">
        <f t="shared" ref="AD26:AE31" si="0">SUM($AF26*AD$23)</f>
        <v>2000</v>
      </c>
      <c r="AE26" s="176">
        <f t="shared" si="0"/>
        <v>2000</v>
      </c>
      <c r="AF26" s="170">
        <v>200</v>
      </c>
      <c r="AG26" s="176">
        <f t="shared" ref="AG26:AH31" si="1">SUM($AF26*AG$23)</f>
        <v>220.00000000000003</v>
      </c>
      <c r="AH26" s="176">
        <f t="shared" si="1"/>
        <v>180</v>
      </c>
      <c r="AI26" s="72"/>
    </row>
    <row r="27" spans="1:35">
      <c r="A27" s="72"/>
      <c r="B27" s="72"/>
      <c r="C27" s="72"/>
      <c r="D27" s="72"/>
      <c r="E27" s="75" t="s">
        <v>1</v>
      </c>
      <c r="F27" s="124"/>
      <c r="G27" s="72" t="str">
        <f t="shared" ref="G27:G29" si="2">+$H$18</f>
        <v>EUR</v>
      </c>
      <c r="H27" s="7">
        <f>IF(F30&lt;&gt;0,F27,H$22*I27)</f>
        <v>0</v>
      </c>
      <c r="I27" s="180">
        <v>0.3</v>
      </c>
      <c r="J27" s="72"/>
      <c r="K27" s="18">
        <f t="shared" ref="K27:K29" si="3">HLOOKUP(K$25,$AC$24:$AH$29,AB27,FALSE)</f>
        <v>185</v>
      </c>
      <c r="L27" s="72"/>
      <c r="M27" s="13">
        <v>2.5</v>
      </c>
      <c r="N27" s="6">
        <f>SUM(H27/K27)/M27</f>
        <v>0</v>
      </c>
      <c r="O27" s="72"/>
      <c r="P27" s="6">
        <f>SUM(N27*M27)</f>
        <v>0</v>
      </c>
      <c r="R27" s="72"/>
      <c r="S27" s="3"/>
      <c r="Z27" s="155" t="s">
        <v>241</v>
      </c>
      <c r="AB27">
        <v>4</v>
      </c>
      <c r="AC27" s="176">
        <f t="shared" ref="AC27:AC31" si="4">SUM($AF27*AC$23)</f>
        <v>1387.5</v>
      </c>
      <c r="AD27" s="176">
        <f t="shared" si="0"/>
        <v>1850</v>
      </c>
      <c r="AE27" s="176">
        <f t="shared" si="0"/>
        <v>1850</v>
      </c>
      <c r="AF27" s="170">
        <v>185</v>
      </c>
      <c r="AG27" s="176">
        <f t="shared" si="1"/>
        <v>203.50000000000003</v>
      </c>
      <c r="AH27" s="176">
        <f t="shared" si="1"/>
        <v>166.5</v>
      </c>
      <c r="AI27" s="72"/>
    </row>
    <row r="28" spans="1:35">
      <c r="A28" s="72"/>
      <c r="B28" s="72"/>
      <c r="C28" s="72"/>
      <c r="D28" s="72"/>
      <c r="E28" s="72" t="s">
        <v>19</v>
      </c>
      <c r="F28" s="124"/>
      <c r="G28" s="72" t="str">
        <f t="shared" si="2"/>
        <v>EUR</v>
      </c>
      <c r="H28" s="7">
        <f>IF(F30&lt;&gt;0,F28,H$22*I28)</f>
        <v>0</v>
      </c>
      <c r="I28" s="180">
        <v>0.05</v>
      </c>
      <c r="J28" s="72"/>
      <c r="K28" s="18">
        <f t="shared" si="3"/>
        <v>250</v>
      </c>
      <c r="L28" s="72"/>
      <c r="M28" s="13">
        <v>1</v>
      </c>
      <c r="N28" s="6">
        <f>SUM(H28/K28)/M28</f>
        <v>0</v>
      </c>
      <c r="O28" s="72"/>
      <c r="P28" s="72"/>
      <c r="Q28" s="72"/>
      <c r="R28" s="72"/>
      <c r="AB28">
        <v>5</v>
      </c>
      <c r="AC28" s="176">
        <f t="shared" si="4"/>
        <v>1875</v>
      </c>
      <c r="AD28" s="176">
        <f t="shared" si="0"/>
        <v>2500</v>
      </c>
      <c r="AE28" s="176">
        <f t="shared" si="0"/>
        <v>2500</v>
      </c>
      <c r="AF28" s="170">
        <v>250</v>
      </c>
      <c r="AG28" s="176">
        <f t="shared" si="1"/>
        <v>275</v>
      </c>
      <c r="AH28" s="176">
        <f t="shared" si="1"/>
        <v>225</v>
      </c>
      <c r="AI28" s="72"/>
    </row>
    <row r="29" spans="1:35">
      <c r="A29" s="72"/>
      <c r="B29" s="72"/>
      <c r="C29" s="72"/>
      <c r="D29" s="72"/>
      <c r="E29" s="72" t="s">
        <v>18</v>
      </c>
      <c r="F29" s="124"/>
      <c r="G29" s="72" t="str">
        <f t="shared" si="2"/>
        <v>EUR</v>
      </c>
      <c r="H29" s="7">
        <f>IF(F30&lt;&gt;0,F29,H$22*I29)</f>
        <v>0</v>
      </c>
      <c r="I29" s="180">
        <v>0.05</v>
      </c>
      <c r="J29" s="72"/>
      <c r="K29" s="18">
        <f t="shared" si="3"/>
        <v>300</v>
      </c>
      <c r="L29" s="72"/>
      <c r="M29" s="13">
        <v>2.5</v>
      </c>
      <c r="N29" s="109">
        <f>SUM(H29/K29)/M29</f>
        <v>0</v>
      </c>
      <c r="O29" s="72"/>
      <c r="P29" s="72"/>
      <c r="Q29" s="72"/>
      <c r="R29" s="72"/>
      <c r="AB29">
        <v>6</v>
      </c>
      <c r="AC29" s="176">
        <f t="shared" si="4"/>
        <v>2250</v>
      </c>
      <c r="AD29" s="176">
        <f t="shared" si="0"/>
        <v>3000</v>
      </c>
      <c r="AE29" s="176">
        <f t="shared" si="0"/>
        <v>3000</v>
      </c>
      <c r="AF29" s="170">
        <v>300</v>
      </c>
      <c r="AG29" s="176">
        <f t="shared" si="1"/>
        <v>330</v>
      </c>
      <c r="AH29" s="176">
        <f t="shared" si="1"/>
        <v>270</v>
      </c>
      <c r="AI29" s="72"/>
    </row>
    <row r="30" spans="1:35" s="72" customFormat="1">
      <c r="E30" s="103"/>
      <c r="F30" s="102">
        <f>SUM(F26:F29)</f>
        <v>0</v>
      </c>
      <c r="G30" s="100" t="s">
        <v>268</v>
      </c>
      <c r="H30" s="6">
        <f>SUM(H26:H29)</f>
        <v>0</v>
      </c>
      <c r="I30" s="160" t="str">
        <f>IF(W26=9,"Must be 100"," ")</f>
        <v xml:space="preserve"> </v>
      </c>
      <c r="J30" s="72" t="s">
        <v>339</v>
      </c>
      <c r="M30" s="97" t="s">
        <v>13</v>
      </c>
      <c r="N30" s="104">
        <f>SUM(N26:N29)</f>
        <v>0</v>
      </c>
      <c r="V30" s="72">
        <f>SUM(H26:H29)</f>
        <v>0</v>
      </c>
      <c r="W30" s="98">
        <f>IF(H22&lt;&gt;0,SUM(V30/H22),0)</f>
        <v>0</v>
      </c>
      <c r="X30" s="72" t="str">
        <f>IF(W30=1,"OK","Error")</f>
        <v>Error</v>
      </c>
      <c r="Z30" s="153"/>
      <c r="AB30">
        <v>7</v>
      </c>
      <c r="AC30" s="176">
        <f t="shared" si="4"/>
        <v>375</v>
      </c>
      <c r="AD30" s="176">
        <f t="shared" si="0"/>
        <v>500</v>
      </c>
      <c r="AE30" s="176">
        <f t="shared" si="0"/>
        <v>500</v>
      </c>
      <c r="AF30" s="170">
        <v>50</v>
      </c>
      <c r="AG30" s="176">
        <f t="shared" si="1"/>
        <v>55.000000000000007</v>
      </c>
      <c r="AH30" s="176">
        <f t="shared" si="1"/>
        <v>45</v>
      </c>
    </row>
    <row r="31" spans="1:35" s="72" customFormat="1">
      <c r="F31" s="103"/>
      <c r="M31" s="97"/>
      <c r="N31" s="106"/>
      <c r="Z31" s="153"/>
      <c r="AB31">
        <v>8</v>
      </c>
      <c r="AC31" s="176">
        <f t="shared" si="4"/>
        <v>0</v>
      </c>
      <c r="AD31" s="176">
        <f t="shared" si="0"/>
        <v>0</v>
      </c>
      <c r="AE31" s="176">
        <f t="shared" si="0"/>
        <v>0</v>
      </c>
      <c r="AF31" s="170">
        <v>0</v>
      </c>
      <c r="AG31" s="176">
        <f t="shared" si="1"/>
        <v>0</v>
      </c>
      <c r="AH31" s="176">
        <f t="shared" si="1"/>
        <v>0</v>
      </c>
    </row>
    <row r="32" spans="1:35" s="72" customFormat="1">
      <c r="F32" s="103"/>
      <c r="M32" s="97"/>
      <c r="N32" s="106"/>
      <c r="Z32" s="153"/>
    </row>
    <row r="33" spans="1:83" s="72" customFormat="1">
      <c r="B33" s="75" t="s">
        <v>171</v>
      </c>
      <c r="F33" s="103"/>
      <c r="H33" s="105" t="s">
        <v>131</v>
      </c>
      <c r="M33" s="97"/>
      <c r="N33" s="106"/>
      <c r="Z33" s="153"/>
    </row>
    <row r="34" spans="1:83" ht="13">
      <c r="A34" s="72"/>
      <c r="B34" s="72"/>
      <c r="C34" s="72"/>
      <c r="D34" s="74" t="s">
        <v>256</v>
      </c>
      <c r="E34" s="72"/>
      <c r="F34" s="103"/>
      <c r="G34" s="72"/>
      <c r="H34" s="125">
        <v>1</v>
      </c>
      <c r="I34" s="72"/>
      <c r="J34" s="72"/>
      <c r="M34" s="97"/>
      <c r="N34" s="100" t="s">
        <v>259</v>
      </c>
      <c r="O34" s="72"/>
      <c r="P34" s="72"/>
      <c r="Q34" s="72"/>
      <c r="R34" s="72"/>
      <c r="Z34" s="155" t="s">
        <v>245</v>
      </c>
      <c r="AD34" s="72"/>
      <c r="AE34" s="72"/>
      <c r="AF34" s="72"/>
      <c r="AG34" s="72"/>
      <c r="AH34" s="72"/>
      <c r="AI34" s="72"/>
    </row>
    <row r="35" spans="1:83">
      <c r="A35" s="72"/>
      <c r="B35" s="72"/>
      <c r="C35" s="72"/>
      <c r="D35" s="72"/>
      <c r="E35" s="72"/>
      <c r="F35" s="103"/>
      <c r="G35" s="72"/>
      <c r="I35" s="72"/>
      <c r="J35" s="72"/>
      <c r="K35" s="72"/>
      <c r="L35" s="72"/>
      <c r="M35" s="97"/>
      <c r="N35" s="240" t="str">
        <f>+H18</f>
        <v>EUR</v>
      </c>
      <c r="O35" s="72"/>
      <c r="P35" s="72"/>
      <c r="Q35" s="72"/>
      <c r="R35" s="72"/>
      <c r="Z35" s="155" t="s">
        <v>243</v>
      </c>
      <c r="AD35" s="72"/>
      <c r="AE35" s="72"/>
      <c r="AF35" s="72"/>
      <c r="AG35" s="72"/>
      <c r="AH35" s="72"/>
      <c r="AI35" s="72"/>
    </row>
    <row r="36" spans="1:83">
      <c r="A36" s="72"/>
      <c r="B36" s="72"/>
      <c r="C36" s="72"/>
      <c r="D36" s="75" t="s">
        <v>264</v>
      </c>
      <c r="E36" s="72"/>
      <c r="F36" s="103"/>
      <c r="G36" s="72"/>
      <c r="H36" s="48">
        <v>1</v>
      </c>
      <c r="I36" s="165">
        <f>IF(V38=6,"  Should be zero if TMC system below set to No ",)</f>
        <v>0</v>
      </c>
      <c r="J36" s="72"/>
      <c r="L36" s="72"/>
      <c r="M36" s="97"/>
      <c r="N36" s="239">
        <f>HLOOKUP(N$35,$AC$24:$AH$31,AB30,FALSE)</f>
        <v>50</v>
      </c>
      <c r="O36" s="72"/>
      <c r="P36" s="72"/>
      <c r="Q36" s="72"/>
      <c r="R36" s="72"/>
      <c r="Z36" s="155" t="s">
        <v>244</v>
      </c>
      <c r="AD36" s="72"/>
      <c r="AE36" s="72"/>
      <c r="AF36" s="72"/>
      <c r="AG36" s="72"/>
      <c r="AH36" s="72"/>
      <c r="AI36" s="72"/>
    </row>
    <row r="37" spans="1:83">
      <c r="A37" s="72"/>
      <c r="B37" s="72"/>
      <c r="C37" s="72"/>
      <c r="D37" s="105"/>
      <c r="E37" s="72"/>
      <c r="F37" s="103"/>
      <c r="G37" s="72"/>
      <c r="H37" s="72"/>
      <c r="I37" s="72"/>
      <c r="J37" s="72"/>
      <c r="K37" s="72"/>
      <c r="L37" s="72"/>
      <c r="M37" s="97"/>
      <c r="N37" s="106"/>
      <c r="O37" s="72"/>
      <c r="P37" s="72"/>
      <c r="Q37" s="72"/>
      <c r="R37" s="72"/>
      <c r="U37" s="152" t="s">
        <v>265</v>
      </c>
      <c r="AD37" s="72"/>
      <c r="AE37" s="72"/>
      <c r="AF37" s="72"/>
      <c r="AG37" s="72"/>
      <c r="AH37" s="72"/>
      <c r="AI37" s="72"/>
    </row>
    <row r="38" spans="1:83" ht="16.5" customHeight="1">
      <c r="A38" s="72"/>
      <c r="B38" s="72"/>
      <c r="C38" s="72"/>
      <c r="D38" s="74" t="s">
        <v>247</v>
      </c>
      <c r="E38" s="72"/>
      <c r="F38" s="103"/>
      <c r="G38" s="72"/>
      <c r="H38" s="162" t="s">
        <v>243</v>
      </c>
      <c r="I38" s="161" t="s">
        <v>252</v>
      </c>
      <c r="J38" s="72"/>
      <c r="K38" s="72"/>
      <c r="L38" s="72"/>
      <c r="M38" s="97"/>
      <c r="N38" s="106"/>
      <c r="O38" s="72"/>
      <c r="P38" s="72"/>
      <c r="Q38" s="72"/>
      <c r="R38" s="72"/>
      <c r="U38" s="163">
        <f>IF(H38="no",9,1)</f>
        <v>1</v>
      </c>
      <c r="V38" s="166" t="b">
        <f>IF(U38=9,IF(H36&lt;&gt;0,6,7))</f>
        <v>0</v>
      </c>
      <c r="AD38" s="72"/>
      <c r="AE38" s="72"/>
      <c r="AF38" s="72"/>
      <c r="AG38" s="72"/>
      <c r="AH38" s="72"/>
      <c r="AI38" s="72"/>
    </row>
    <row r="39" spans="1:83" ht="15.5" customHeight="1">
      <c r="A39" s="72"/>
      <c r="B39" s="72"/>
      <c r="C39" s="100" t="s">
        <v>248</v>
      </c>
      <c r="D39" s="158" t="s">
        <v>249</v>
      </c>
      <c r="E39" s="72"/>
      <c r="F39" s="72"/>
      <c r="G39" s="72"/>
      <c r="H39" s="72"/>
      <c r="I39" s="72"/>
      <c r="J39" s="72"/>
      <c r="K39" s="72"/>
      <c r="L39" s="72"/>
      <c r="M39" s="97"/>
      <c r="N39" s="106"/>
      <c r="O39" s="72"/>
      <c r="P39" s="72"/>
      <c r="Q39" s="72"/>
      <c r="R39" s="72"/>
      <c r="AD39" s="72"/>
      <c r="AE39" s="72"/>
      <c r="AF39" s="72"/>
      <c r="AG39" s="72"/>
      <c r="AH39" s="72"/>
      <c r="AI39" s="72"/>
    </row>
    <row r="40" spans="1:83" ht="10.5" customHeight="1">
      <c r="A40" s="72"/>
      <c r="B40" s="72"/>
      <c r="C40" s="72"/>
      <c r="D40" s="158" t="s">
        <v>250</v>
      </c>
      <c r="E40" s="72"/>
      <c r="F40" s="72"/>
      <c r="G40" s="72"/>
      <c r="H40" s="72"/>
      <c r="I40" s="72"/>
      <c r="J40" s="72"/>
      <c r="K40" s="72"/>
      <c r="L40" s="72"/>
      <c r="M40" s="97"/>
      <c r="N40" s="106"/>
      <c r="O40" s="72"/>
      <c r="P40" s="72"/>
      <c r="Q40" s="72"/>
      <c r="R40" s="72"/>
      <c r="AD40" s="72"/>
      <c r="AE40" s="72"/>
      <c r="AF40" s="72"/>
      <c r="AG40" s="72"/>
      <c r="AH40" s="72"/>
      <c r="AI40" s="72"/>
    </row>
    <row r="41" spans="1:83" ht="10.5" customHeight="1">
      <c r="A41" s="72"/>
      <c r="B41" s="72"/>
      <c r="C41" s="72"/>
      <c r="D41" s="158" t="s">
        <v>251</v>
      </c>
      <c r="E41" s="72"/>
      <c r="F41" s="72"/>
      <c r="G41" s="72"/>
      <c r="H41" s="72"/>
      <c r="I41" s="72"/>
      <c r="J41" s="72"/>
      <c r="K41" s="72"/>
      <c r="L41" s="72"/>
      <c r="M41" s="97"/>
      <c r="N41" s="106"/>
      <c r="O41" s="72"/>
      <c r="P41" s="72"/>
      <c r="Q41" s="72"/>
      <c r="R41" s="72"/>
      <c r="AD41" s="72"/>
      <c r="AE41" s="72"/>
      <c r="AF41" s="72"/>
      <c r="AG41" s="72"/>
      <c r="AH41" s="72"/>
      <c r="AI41" s="72"/>
    </row>
    <row r="42" spans="1:83" ht="7.5" customHeight="1">
      <c r="A42" s="72"/>
      <c r="B42" s="72"/>
      <c r="C42" s="72"/>
      <c r="E42" s="72"/>
      <c r="F42" s="72"/>
      <c r="G42" s="72"/>
      <c r="I42" s="72"/>
      <c r="J42" s="72"/>
      <c r="K42" s="72"/>
      <c r="L42" s="72"/>
      <c r="M42" s="97"/>
      <c r="N42" s="106"/>
      <c r="O42" s="72"/>
      <c r="P42" s="72"/>
      <c r="Q42" s="72"/>
      <c r="AD42" s="72"/>
      <c r="AE42" s="72"/>
      <c r="AF42" s="72"/>
      <c r="AG42" s="72"/>
      <c r="AH42" s="72"/>
      <c r="AI42" s="72"/>
    </row>
    <row r="43" spans="1:83" s="52" customFormat="1" ht="7" customHeight="1">
      <c r="M43" s="53"/>
      <c r="N43" s="54"/>
      <c r="Z43" s="153"/>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c r="CC43" s="72"/>
      <c r="CD43" s="72"/>
      <c r="CE43" s="72"/>
    </row>
    <row r="44" spans="1:83" s="110" customFormat="1" ht="20" customHeight="1">
      <c r="A44" s="110" t="s">
        <v>184</v>
      </c>
      <c r="B44" s="110" t="s">
        <v>187</v>
      </c>
      <c r="M44" s="111"/>
      <c r="N44" s="112"/>
      <c r="Z44" s="156"/>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0"/>
      <c r="BR44" s="150"/>
      <c r="BS44" s="150"/>
      <c r="BT44" s="150"/>
      <c r="BU44" s="150"/>
      <c r="BV44" s="150"/>
      <c r="BW44" s="150"/>
      <c r="BX44" s="150"/>
      <c r="BY44" s="150"/>
      <c r="BZ44" s="150"/>
      <c r="CA44" s="150"/>
      <c r="CB44" s="150"/>
      <c r="CC44" s="150"/>
      <c r="CD44" s="150"/>
      <c r="CE44" s="150"/>
    </row>
    <row r="45" spans="1:83" ht="18" customHeight="1">
      <c r="A45" s="72"/>
      <c r="B45" s="114"/>
      <c r="C45" s="72"/>
      <c r="D45" s="72"/>
      <c r="E45" s="72"/>
      <c r="F45" s="72"/>
      <c r="G45" s="72"/>
      <c r="H45" s="72"/>
      <c r="I45" s="72"/>
      <c r="J45" s="72"/>
      <c r="K45" s="72"/>
      <c r="L45" s="72"/>
      <c r="M45" s="97"/>
      <c r="N45" s="106"/>
      <c r="O45" s="72"/>
      <c r="P45" s="72"/>
      <c r="Q45" s="72"/>
      <c r="R45" s="72"/>
      <c r="S45" s="72"/>
      <c r="T45" s="72"/>
      <c r="U45" s="72"/>
      <c r="V45" s="72"/>
      <c r="W45" s="72"/>
      <c r="X45" s="72"/>
      <c r="Y45" s="72"/>
      <c r="AA45" s="72"/>
      <c r="AB45" s="72"/>
      <c r="AC45" s="72"/>
      <c r="AD45" s="72"/>
      <c r="AE45" s="72"/>
      <c r="AF45" s="72"/>
      <c r="AG45" s="72"/>
      <c r="AH45" s="72"/>
      <c r="AI45" s="72"/>
    </row>
    <row r="46" spans="1:83" ht="15" customHeight="1">
      <c r="A46" s="72"/>
      <c r="B46" s="72"/>
      <c r="C46" s="72"/>
      <c r="D46" s="123" t="s">
        <v>216</v>
      </c>
      <c r="E46" s="51"/>
      <c r="F46" s="122"/>
      <c r="G46" s="178" t="str">
        <f>IF(U50=9,"YES",H46)</f>
        <v>No</v>
      </c>
      <c r="H46" s="179" t="s">
        <v>244</v>
      </c>
      <c r="I46" s="161" t="s">
        <v>252</v>
      </c>
      <c r="J46" s="72"/>
      <c r="K46" s="72"/>
      <c r="L46" s="72"/>
      <c r="M46" s="97"/>
      <c r="N46" s="106"/>
      <c r="O46" s="72"/>
      <c r="P46" s="72"/>
      <c r="Q46" s="72"/>
      <c r="R46" s="72"/>
      <c r="S46" s="72"/>
      <c r="T46" s="72"/>
      <c r="U46" s="72"/>
      <c r="V46" s="72"/>
      <c r="W46" s="72"/>
      <c r="X46" s="72"/>
      <c r="Y46" s="72"/>
      <c r="AA46" s="72"/>
      <c r="AB46" s="72"/>
      <c r="AC46" s="72"/>
      <c r="AD46" s="72"/>
      <c r="AE46" s="72"/>
      <c r="AF46" s="72"/>
      <c r="AG46" s="72"/>
      <c r="AH46" s="72"/>
      <c r="AI46" s="72"/>
    </row>
    <row r="47" spans="1:83" ht="15" customHeight="1">
      <c r="A47" s="72"/>
      <c r="B47" s="72"/>
      <c r="C47" s="72"/>
      <c r="D47" s="123"/>
      <c r="E47" s="75"/>
      <c r="F47" s="122"/>
      <c r="G47" s="72"/>
      <c r="H47" s="72"/>
      <c r="I47" s="72"/>
      <c r="J47" s="72"/>
      <c r="K47" s="72"/>
      <c r="L47" s="72"/>
      <c r="M47" s="97"/>
      <c r="N47" s="106"/>
      <c r="O47" s="72"/>
      <c r="P47" s="72"/>
      <c r="Q47" s="72"/>
      <c r="R47" s="72"/>
      <c r="S47" s="72"/>
      <c r="T47" s="72"/>
      <c r="U47" s="72"/>
      <c r="V47" s="72"/>
      <c r="W47" s="72"/>
      <c r="X47" s="72"/>
      <c r="Y47" s="72">
        <f>+U38</f>
        <v>1</v>
      </c>
      <c r="Z47" s="177" t="s">
        <v>244</v>
      </c>
      <c r="AA47" s="75"/>
      <c r="AB47" s="75"/>
      <c r="AC47" s="72"/>
      <c r="AD47" s="72"/>
      <c r="AE47" s="72"/>
      <c r="AF47" s="72"/>
      <c r="AG47" s="72"/>
      <c r="AH47" s="72"/>
      <c r="AI47" s="72"/>
    </row>
    <row r="48" spans="1:83">
      <c r="A48" s="72"/>
      <c r="B48" s="72"/>
      <c r="C48" s="72"/>
      <c r="D48" s="72"/>
      <c r="E48" s="72"/>
      <c r="F48" s="72"/>
      <c r="G48" s="72"/>
      <c r="H48" s="72"/>
      <c r="I48" s="72"/>
      <c r="K48" s="72"/>
      <c r="L48" s="72"/>
      <c r="M48" s="97"/>
      <c r="N48" s="106"/>
      <c r="O48" s="72"/>
      <c r="P48" s="72"/>
      <c r="Q48" s="72"/>
      <c r="R48" s="72"/>
      <c r="S48" s="72"/>
      <c r="T48" s="72"/>
      <c r="U48" s="72"/>
      <c r="V48" s="72"/>
      <c r="W48" s="72"/>
      <c r="X48" s="72"/>
      <c r="Y48" s="72">
        <f>+Y47</f>
        <v>1</v>
      </c>
      <c r="Z48" s="177" t="s">
        <v>243</v>
      </c>
      <c r="AA48" s="75"/>
      <c r="AB48" s="75"/>
      <c r="AC48" s="72"/>
      <c r="AD48" s="72"/>
      <c r="AE48" s="249" t="s">
        <v>185</v>
      </c>
      <c r="AF48" s="249"/>
      <c r="AG48" s="72"/>
      <c r="AH48" s="72"/>
      <c r="AI48" s="72"/>
    </row>
    <row r="49" spans="1:83">
      <c r="A49" s="72"/>
      <c r="B49" s="72"/>
      <c r="D49" s="72"/>
      <c r="E49" s="72"/>
      <c r="F49" s="72"/>
      <c r="G49" s="72"/>
      <c r="H49" s="97" t="s">
        <v>7</v>
      </c>
      <c r="I49" s="98"/>
      <c r="J49" s="72"/>
      <c r="K49" s="97" t="s">
        <v>9</v>
      </c>
      <c r="L49" s="72"/>
      <c r="M49" s="97" t="s">
        <v>12</v>
      </c>
      <c r="N49" s="97" t="s">
        <v>10</v>
      </c>
      <c r="O49" s="72"/>
      <c r="P49" s="72"/>
      <c r="Q49" s="72"/>
      <c r="R49" s="72"/>
      <c r="S49" s="72"/>
      <c r="T49" s="72"/>
      <c r="U49" s="72"/>
      <c r="V49" s="98">
        <f>IF(G46="YES",1,2)</f>
        <v>2</v>
      </c>
      <c r="W49" s="72"/>
      <c r="X49" s="72"/>
      <c r="Y49" s="72"/>
      <c r="AA49" s="72"/>
      <c r="AB49" s="72"/>
      <c r="AC49" s="72"/>
      <c r="AD49" s="72"/>
      <c r="AE49" s="249"/>
      <c r="AF49" s="249"/>
      <c r="AG49" s="72"/>
      <c r="AH49" s="72"/>
      <c r="AI49" s="72"/>
    </row>
    <row r="50" spans="1:83">
      <c r="A50" s="72"/>
      <c r="B50" s="72"/>
      <c r="C50" s="72"/>
      <c r="D50" s="72"/>
      <c r="E50" s="72" t="str">
        <f>+E26</f>
        <v>Air</v>
      </c>
      <c r="F50" s="72"/>
      <c r="G50" s="72"/>
      <c r="H50" s="7">
        <f>+H26</f>
        <v>0</v>
      </c>
      <c r="I50" s="98" t="str">
        <f>+$H$18</f>
        <v>EUR</v>
      </c>
      <c r="K50" s="18">
        <f>+K26</f>
        <v>200</v>
      </c>
      <c r="L50" s="72"/>
      <c r="M50" s="19">
        <f>+M26</f>
        <v>1</v>
      </c>
      <c r="N50" s="6">
        <f>+N26</f>
        <v>0</v>
      </c>
      <c r="O50" s="72" t="s">
        <v>14</v>
      </c>
      <c r="P50" s="72"/>
      <c r="Q50" s="72"/>
      <c r="R50" s="72"/>
      <c r="S50" s="72"/>
      <c r="U50" s="164">
        <f>+U38</f>
        <v>1</v>
      </c>
      <c r="V50" s="72"/>
      <c r="W50" s="72"/>
      <c r="X50" s="72"/>
      <c r="Y50" s="72"/>
      <c r="AA50" s="72"/>
      <c r="AB50" s="72"/>
      <c r="AC50" s="72"/>
      <c r="AD50" s="72"/>
      <c r="AE50" s="249"/>
      <c r="AF50" s="249"/>
      <c r="AG50" s="72"/>
      <c r="AH50" s="72"/>
      <c r="AI50" s="72"/>
    </row>
    <row r="51" spans="1:83">
      <c r="A51" s="72"/>
      <c r="B51" s="72"/>
      <c r="C51" s="72"/>
      <c r="D51" s="72"/>
      <c r="E51" s="72"/>
      <c r="F51" s="72"/>
      <c r="G51" s="72"/>
      <c r="H51" s="72"/>
      <c r="I51" s="72"/>
      <c r="J51" s="72"/>
      <c r="K51" s="72"/>
      <c r="L51" s="72"/>
      <c r="M51" s="97"/>
      <c r="N51" s="106"/>
      <c r="O51" s="72"/>
      <c r="P51" s="72"/>
      <c r="Q51" s="72"/>
      <c r="R51" s="72"/>
      <c r="S51" s="72"/>
      <c r="T51" s="165" t="s">
        <v>313</v>
      </c>
      <c r="U51" s="72"/>
      <c r="V51" s="72"/>
      <c r="W51" s="72"/>
      <c r="X51" s="72"/>
      <c r="Y51" s="72"/>
      <c r="AA51" s="72"/>
      <c r="AB51" s="72"/>
      <c r="AC51" s="72"/>
      <c r="AD51" s="72"/>
      <c r="AE51" s="249"/>
      <c r="AF51" s="249"/>
      <c r="AG51" s="72"/>
      <c r="AH51" s="72"/>
      <c r="AI51" s="72"/>
    </row>
    <row r="52" spans="1:83" ht="13">
      <c r="A52" s="72"/>
      <c r="B52" s="72"/>
      <c r="C52" s="72"/>
      <c r="E52" s="74" t="s">
        <v>28</v>
      </c>
      <c r="F52" s="72"/>
      <c r="G52" s="72"/>
      <c r="H52" s="97" t="s">
        <v>7</v>
      </c>
      <c r="I52" s="98" t="s">
        <v>8</v>
      </c>
      <c r="J52" s="98" t="s">
        <v>8</v>
      </c>
      <c r="K52" s="97" t="s">
        <v>9</v>
      </c>
      <c r="L52" s="72"/>
      <c r="M52" s="97" t="s">
        <v>12</v>
      </c>
      <c r="N52" s="97" t="s">
        <v>10</v>
      </c>
      <c r="O52" s="72"/>
      <c r="P52" s="72"/>
      <c r="Q52" s="72"/>
      <c r="R52" s="72"/>
      <c r="S52" s="72"/>
      <c r="T52" s="97" t="s">
        <v>84</v>
      </c>
      <c r="U52" s="72"/>
      <c r="V52" s="72"/>
      <c r="W52" s="72"/>
      <c r="X52" s="72"/>
      <c r="Y52" s="72"/>
      <c r="AA52" s="72"/>
      <c r="AB52" s="72"/>
      <c r="AC52" s="72"/>
      <c r="AD52" s="72"/>
      <c r="AE52" s="249"/>
      <c r="AF52" s="249"/>
      <c r="AG52" s="72"/>
      <c r="AH52" s="72"/>
      <c r="AI52" s="72"/>
    </row>
    <row r="53" spans="1:83">
      <c r="A53" s="72"/>
      <c r="B53" s="72"/>
      <c r="C53" s="72"/>
      <c r="D53" s="72"/>
      <c r="E53" s="72" t="s">
        <v>168</v>
      </c>
      <c r="F53" s="72"/>
      <c r="G53" s="72"/>
      <c r="H53" s="106">
        <f>IF($U$50=9,SUM(H$50/100*J53),SUM(H$50/100*I53))</f>
        <v>0</v>
      </c>
      <c r="I53" s="48">
        <v>20</v>
      </c>
      <c r="J53" s="98">
        <f>IF(U50=9,100,I53)</f>
        <v>20</v>
      </c>
      <c r="K53" s="10">
        <v>200</v>
      </c>
      <c r="L53" s="72"/>
      <c r="M53" s="13">
        <v>1</v>
      </c>
      <c r="N53" s="6">
        <f t="shared" ref="N53:N55" si="5">SUM(H53/K53)/M53</f>
        <v>0</v>
      </c>
      <c r="O53" s="72" t="s">
        <v>14</v>
      </c>
      <c r="P53" s="72"/>
      <c r="Q53" s="72"/>
      <c r="R53" s="72"/>
      <c r="S53" s="72"/>
      <c r="T53" s="7">
        <f>IF(N$56&lt;&gt;0,SUM(N53/N$56*100),0)</f>
        <v>0</v>
      </c>
      <c r="U53" s="105" t="s">
        <v>85</v>
      </c>
      <c r="V53" s="72" t="s">
        <v>4</v>
      </c>
      <c r="W53" s="72"/>
      <c r="X53" s="72"/>
      <c r="Y53" s="72"/>
      <c r="Z53" s="155" t="s">
        <v>253</v>
      </c>
      <c r="AA53" s="72">
        <f>SUM(I53:I55)</f>
        <v>100</v>
      </c>
      <c r="AB53" s="72"/>
      <c r="AC53" s="72"/>
      <c r="AD53" s="72"/>
      <c r="AE53" s="249"/>
      <c r="AF53" s="249"/>
      <c r="AG53" s="72"/>
      <c r="AH53" s="72"/>
      <c r="AI53" s="72"/>
    </row>
    <row r="54" spans="1:83">
      <c r="A54" s="72"/>
      <c r="B54" s="72"/>
      <c r="C54" s="72"/>
      <c r="D54" s="72"/>
      <c r="E54" s="72" t="s">
        <v>166</v>
      </c>
      <c r="F54" s="72"/>
      <c r="G54" s="72"/>
      <c r="H54" s="106">
        <f>IF($U$50=9,SUM(H$50/100*J54),SUM(H$50/100*I54))</f>
        <v>0</v>
      </c>
      <c r="I54" s="48">
        <v>45</v>
      </c>
      <c r="J54" s="98">
        <f>IF(J53=100,0,I54)</f>
        <v>45</v>
      </c>
      <c r="K54" s="10">
        <v>200</v>
      </c>
      <c r="L54" s="72"/>
      <c r="M54" s="13">
        <v>1</v>
      </c>
      <c r="N54" s="6">
        <f t="shared" si="5"/>
        <v>0</v>
      </c>
      <c r="O54" s="72" t="s">
        <v>14</v>
      </c>
      <c r="P54" s="72"/>
      <c r="Q54" s="72"/>
      <c r="R54" s="72"/>
      <c r="S54" s="72"/>
      <c r="T54" s="7">
        <f>IF(N$56&lt;&gt;0,SUM(N54/N$56*100),0)</f>
        <v>0</v>
      </c>
      <c r="U54" s="105" t="s">
        <v>85</v>
      </c>
      <c r="V54" s="72"/>
      <c r="W54" s="72"/>
      <c r="X54" s="72"/>
      <c r="Y54" s="72"/>
      <c r="AA54" s="72">
        <f>IF(AA53&lt;&gt;100,9,1)</f>
        <v>1</v>
      </c>
      <c r="AB54" s="72"/>
      <c r="AC54" s="72"/>
      <c r="AD54" s="72"/>
      <c r="AE54" s="249"/>
      <c r="AF54" s="249"/>
      <c r="AG54" s="72"/>
      <c r="AH54" s="72"/>
      <c r="AI54" s="72"/>
    </row>
    <row r="55" spans="1:83">
      <c r="A55" s="72"/>
      <c r="B55" s="72"/>
      <c r="C55" s="72"/>
      <c r="D55" s="72"/>
      <c r="E55" s="72" t="s">
        <v>167</v>
      </c>
      <c r="F55" s="72"/>
      <c r="G55" s="72"/>
      <c r="H55" s="106">
        <f>IF($U$50=9,SUM(H$50/100*J55),SUM(H$50/100*I55))</f>
        <v>0</v>
      </c>
      <c r="I55" s="48">
        <v>35</v>
      </c>
      <c r="J55" s="98">
        <f>IF(J53=100,0,I55)</f>
        <v>35</v>
      </c>
      <c r="K55" s="10">
        <v>200</v>
      </c>
      <c r="L55" s="72"/>
      <c r="M55" s="13">
        <v>1</v>
      </c>
      <c r="N55" s="6">
        <f t="shared" si="5"/>
        <v>0</v>
      </c>
      <c r="O55" s="72" t="s">
        <v>14</v>
      </c>
      <c r="P55" s="72"/>
      <c r="Q55" s="72"/>
      <c r="R55" s="72"/>
      <c r="S55" s="72"/>
      <c r="T55" s="7">
        <f>IF(N$56&lt;&gt;0,SUM(N55/N$56*100),0)</f>
        <v>0</v>
      </c>
      <c r="U55" s="105" t="s">
        <v>85</v>
      </c>
      <c r="V55" s="72" t="s">
        <v>24</v>
      </c>
      <c r="W55" s="72">
        <f>IF(V49=1,N56,0)</f>
        <v>0</v>
      </c>
      <c r="X55" s="72"/>
      <c r="Y55" s="72"/>
      <c r="Z55" s="155" t="s">
        <v>254</v>
      </c>
      <c r="AA55" s="72" t="b">
        <f>IF(AA54=9,IF(U50&lt;&gt;9,6,7))</f>
        <v>0</v>
      </c>
      <c r="AB55" s="72"/>
      <c r="AC55" s="72"/>
      <c r="AD55" s="72"/>
      <c r="AE55" s="249"/>
      <c r="AF55" s="249"/>
      <c r="AG55" s="72"/>
      <c r="AH55" s="72"/>
      <c r="AI55" s="72"/>
    </row>
    <row r="56" spans="1:83">
      <c r="A56" s="72"/>
      <c r="B56" s="72"/>
      <c r="C56" s="72"/>
      <c r="D56" s="72"/>
      <c r="E56" s="72"/>
      <c r="F56" s="103"/>
      <c r="G56" s="72"/>
      <c r="H56" s="106">
        <f>SUM(H53:H55)</f>
        <v>0</v>
      </c>
      <c r="I56" s="160" t="str">
        <f>IF(AA55=6,"Must be 100"," ")</f>
        <v xml:space="preserve"> </v>
      </c>
      <c r="J56" s="72"/>
      <c r="K56" s="165"/>
      <c r="L56" s="72"/>
      <c r="M56" s="97"/>
      <c r="N56" s="6">
        <f>SUM(N53:N55)</f>
        <v>0</v>
      </c>
      <c r="O56" s="72" t="s">
        <v>14</v>
      </c>
      <c r="P56" s="72"/>
      <c r="Q56" s="72"/>
      <c r="R56" s="72"/>
      <c r="S56" s="72"/>
      <c r="T56" s="222">
        <f>IF(N$56&lt;&gt;0,SUM(N56/N$56*100),0)</f>
        <v>0</v>
      </c>
      <c r="U56" s="105" t="s">
        <v>85</v>
      </c>
      <c r="V56" s="72" t="s">
        <v>25</v>
      </c>
      <c r="W56" s="72">
        <f>IF(V49=2,N50,0)</f>
        <v>0</v>
      </c>
      <c r="X56" s="72"/>
      <c r="Y56" s="72"/>
      <c r="AA56" s="72"/>
      <c r="AB56" s="72"/>
      <c r="AC56" s="72"/>
      <c r="AD56" s="72"/>
      <c r="AE56" s="72"/>
      <c r="AF56" s="72"/>
      <c r="AG56" s="72"/>
      <c r="AH56" s="72"/>
      <c r="AI56" s="72"/>
    </row>
    <row r="57" spans="1:83">
      <c r="A57" s="72"/>
      <c r="B57" s="72"/>
      <c r="C57" s="72"/>
      <c r="D57" s="72"/>
      <c r="E57" s="72"/>
      <c r="F57" s="72"/>
      <c r="G57" s="72"/>
      <c r="H57" s="72"/>
      <c r="I57" s="72"/>
      <c r="J57" s="72"/>
      <c r="K57" s="165"/>
      <c r="L57" s="72"/>
      <c r="M57" s="97"/>
      <c r="N57" s="106"/>
      <c r="O57" s="72"/>
      <c r="P57" s="72"/>
      <c r="Q57" s="72"/>
      <c r="R57" s="72"/>
      <c r="S57" s="72"/>
      <c r="T57" s="72"/>
      <c r="U57" s="72"/>
      <c r="V57" s="72"/>
      <c r="W57" s="117">
        <f>SUM(W55:W56)</f>
        <v>0</v>
      </c>
      <c r="X57" s="72" t="s">
        <v>11</v>
      </c>
      <c r="Y57" s="72"/>
      <c r="AA57" s="72"/>
      <c r="AB57" s="72"/>
      <c r="AC57" s="72"/>
      <c r="AD57" s="72"/>
      <c r="AE57" s="72"/>
      <c r="AF57" s="72"/>
      <c r="AG57" s="72"/>
      <c r="AH57" s="72"/>
      <c r="AI57" s="72"/>
    </row>
    <row r="58" spans="1:83">
      <c r="A58" s="72"/>
      <c r="B58" s="72"/>
      <c r="C58" s="72"/>
      <c r="D58" s="72"/>
      <c r="E58" s="72"/>
      <c r="F58" s="72"/>
      <c r="G58" s="72"/>
      <c r="H58" s="72"/>
      <c r="I58" s="72"/>
      <c r="J58" s="72"/>
      <c r="K58" s="72"/>
      <c r="L58" s="72"/>
      <c r="M58" s="97"/>
      <c r="N58" s="106"/>
      <c r="O58" s="72"/>
      <c r="P58" s="72"/>
      <c r="Q58" s="72"/>
      <c r="R58" s="72"/>
      <c r="S58" s="72"/>
      <c r="T58" s="72"/>
      <c r="U58" s="72"/>
      <c r="V58" s="72"/>
      <c r="W58" s="72" t="s">
        <v>23</v>
      </c>
      <c r="X58" s="72"/>
      <c r="Y58" s="72"/>
      <c r="AA58" s="72"/>
      <c r="AB58" s="72"/>
      <c r="AC58" s="72"/>
      <c r="AD58" s="72"/>
      <c r="AE58" s="72"/>
      <c r="AF58" s="72"/>
      <c r="AG58" s="72"/>
      <c r="AH58" s="72"/>
      <c r="AI58" s="72"/>
    </row>
    <row r="59" spans="1:83" s="52" customFormat="1" ht="7" customHeight="1">
      <c r="M59" s="53"/>
      <c r="N59" s="54"/>
      <c r="Z59" s="153"/>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c r="CC59" s="72"/>
      <c r="CD59" s="72"/>
      <c r="CE59" s="72"/>
    </row>
    <row r="60" spans="1:83" s="110" customFormat="1" ht="20" customHeight="1">
      <c r="A60" s="110" t="s">
        <v>188</v>
      </c>
      <c r="B60" s="110" t="s">
        <v>189</v>
      </c>
      <c r="M60" s="111"/>
      <c r="N60" s="112"/>
      <c r="Z60" s="156"/>
      <c r="AJ60" s="150"/>
      <c r="AK60" s="150"/>
      <c r="AL60" s="150"/>
      <c r="AM60" s="150"/>
      <c r="AN60" s="150"/>
      <c r="AO60" s="150"/>
      <c r="AP60" s="150"/>
      <c r="AQ60" s="150"/>
      <c r="AR60" s="150"/>
      <c r="AS60" s="150"/>
      <c r="AT60" s="150"/>
      <c r="AU60" s="150"/>
      <c r="AV60" s="150"/>
      <c r="AW60" s="150"/>
      <c r="AX60" s="150"/>
      <c r="AY60" s="150"/>
      <c r="AZ60" s="150"/>
      <c r="BA60" s="150"/>
      <c r="BB60" s="150"/>
      <c r="BC60" s="150"/>
      <c r="BD60" s="150"/>
      <c r="BE60" s="150"/>
      <c r="BF60" s="150"/>
      <c r="BG60" s="150"/>
      <c r="BH60" s="150"/>
      <c r="BI60" s="150"/>
      <c r="BJ60" s="150"/>
      <c r="BK60" s="150"/>
      <c r="BL60" s="150"/>
      <c r="BM60" s="150"/>
      <c r="BN60" s="150"/>
      <c r="BO60" s="150"/>
      <c r="BP60" s="150"/>
      <c r="BQ60" s="150"/>
      <c r="BR60" s="150"/>
      <c r="BS60" s="150"/>
      <c r="BT60" s="150"/>
      <c r="BU60" s="150"/>
      <c r="BV60" s="150"/>
      <c r="BW60" s="150"/>
      <c r="BX60" s="150"/>
      <c r="BY60" s="150"/>
      <c r="BZ60" s="150"/>
      <c r="CA60" s="150"/>
      <c r="CB60" s="150"/>
      <c r="CC60" s="150"/>
      <c r="CD60" s="150"/>
      <c r="CE60" s="150"/>
    </row>
    <row r="61" spans="1:83" ht="15" customHeight="1">
      <c r="A61" s="75"/>
      <c r="B61" s="75"/>
      <c r="C61" s="72"/>
      <c r="D61" s="72"/>
      <c r="E61" s="72"/>
      <c r="F61" s="72"/>
      <c r="G61" s="72"/>
      <c r="H61" s="72"/>
      <c r="I61" s="72"/>
      <c r="J61" s="72"/>
      <c r="K61" s="72"/>
      <c r="L61" s="72"/>
      <c r="M61" s="97"/>
      <c r="N61" s="106"/>
      <c r="O61" s="72"/>
      <c r="P61" s="72"/>
      <c r="Q61" s="72"/>
      <c r="R61" s="72"/>
      <c r="S61" s="72"/>
      <c r="T61" s="72"/>
      <c r="U61" s="72"/>
      <c r="V61" s="72"/>
      <c r="W61" s="72"/>
      <c r="X61" s="72"/>
      <c r="Y61" s="72"/>
      <c r="AA61" s="72"/>
      <c r="AB61" s="72"/>
      <c r="AC61" s="72"/>
      <c r="AD61" s="72"/>
      <c r="AE61" s="72"/>
      <c r="AF61" s="72"/>
      <c r="AG61" s="72"/>
      <c r="AH61" s="72"/>
      <c r="AI61" s="72"/>
    </row>
    <row r="62" spans="1:83" ht="15" customHeight="1">
      <c r="A62" s="75"/>
      <c r="B62" s="75"/>
      <c r="C62" s="115"/>
      <c r="D62" s="123" t="s">
        <v>217</v>
      </c>
      <c r="E62" s="51"/>
      <c r="F62" s="122"/>
      <c r="G62" s="178" t="str">
        <f>IF(X68=9,"YES",H62)</f>
        <v>No</v>
      </c>
      <c r="H62" s="179" t="s">
        <v>244</v>
      </c>
      <c r="I62" s="161" t="s">
        <v>252</v>
      </c>
      <c r="J62" s="72"/>
      <c r="K62" s="72"/>
      <c r="L62" s="72"/>
      <c r="M62" s="97"/>
      <c r="N62" s="106"/>
      <c r="O62" s="72"/>
      <c r="P62" s="72"/>
      <c r="Q62" s="72"/>
      <c r="R62" s="72"/>
      <c r="S62" s="72"/>
      <c r="T62" s="72"/>
      <c r="U62" s="72"/>
      <c r="V62" s="72"/>
      <c r="W62" s="72"/>
      <c r="X62" s="72"/>
      <c r="Y62" s="72"/>
      <c r="Z62" s="177" t="s">
        <v>244</v>
      </c>
      <c r="AA62" s="72"/>
      <c r="AB62" s="72"/>
      <c r="AC62" s="72"/>
      <c r="AD62" s="72"/>
      <c r="AE62" s="72"/>
      <c r="AF62" s="72"/>
      <c r="AG62" s="72"/>
      <c r="AH62" s="72"/>
      <c r="AI62" s="72"/>
    </row>
    <row r="63" spans="1:83" ht="13">
      <c r="A63" s="72"/>
      <c r="B63" s="72"/>
      <c r="C63" s="116"/>
      <c r="D63" s="72"/>
      <c r="E63" s="72"/>
      <c r="F63" s="72"/>
      <c r="G63" s="72"/>
      <c r="H63" s="72"/>
      <c r="I63" s="72"/>
      <c r="J63" s="72"/>
      <c r="K63" s="72"/>
      <c r="L63" s="72"/>
      <c r="M63" s="97"/>
      <c r="N63" s="106"/>
      <c r="O63" s="72"/>
      <c r="P63" s="72"/>
      <c r="Q63" s="72"/>
      <c r="R63" s="72"/>
      <c r="S63" s="72"/>
      <c r="T63" s="72"/>
      <c r="U63" s="72"/>
      <c r="V63" s="72"/>
      <c r="W63" s="72"/>
      <c r="X63" s="72"/>
      <c r="Y63" s="72"/>
      <c r="Z63" s="177" t="s">
        <v>243</v>
      </c>
      <c r="AA63" s="72"/>
      <c r="AB63" s="72"/>
      <c r="AC63" s="72"/>
      <c r="AD63" s="72"/>
      <c r="AE63" s="72"/>
      <c r="AF63" s="72"/>
      <c r="AG63" s="72"/>
      <c r="AH63" s="72"/>
      <c r="AI63" s="72"/>
    </row>
    <row r="64" spans="1:83" ht="13">
      <c r="A64" s="72"/>
      <c r="B64" s="72"/>
      <c r="C64" s="116"/>
      <c r="D64" s="72"/>
      <c r="E64" s="72"/>
      <c r="F64" s="72"/>
      <c r="G64" s="72"/>
      <c r="H64" s="72"/>
      <c r="I64" s="72"/>
      <c r="J64" s="72"/>
      <c r="K64" s="72"/>
      <c r="L64" s="72"/>
      <c r="M64" s="97"/>
      <c r="N64" s="106"/>
      <c r="O64" s="72"/>
      <c r="P64" s="72"/>
      <c r="Q64" s="72"/>
      <c r="R64" s="72"/>
      <c r="S64" s="72"/>
      <c r="T64" s="72"/>
      <c r="U64" s="72"/>
      <c r="V64" s="72"/>
      <c r="W64" s="72"/>
      <c r="X64" s="72"/>
      <c r="Y64" s="72"/>
      <c r="AA64" s="72"/>
      <c r="AB64" s="72"/>
      <c r="AC64" s="72"/>
      <c r="AD64" s="72"/>
      <c r="AE64" s="72"/>
      <c r="AF64" s="72"/>
      <c r="AG64" s="72"/>
      <c r="AH64" s="72"/>
      <c r="AI64" s="72"/>
    </row>
    <row r="65" spans="1:35">
      <c r="A65" s="72"/>
      <c r="B65" s="72"/>
      <c r="D65" s="72"/>
      <c r="E65" s="72"/>
      <c r="F65" s="72"/>
      <c r="G65" s="72"/>
      <c r="H65" s="97" t="s">
        <v>7</v>
      </c>
      <c r="I65" s="98"/>
      <c r="J65" s="72"/>
      <c r="K65" s="97" t="str">
        <f>"Average/"&amp;$H$18</f>
        <v>Average/EUR</v>
      </c>
      <c r="L65" s="72"/>
      <c r="M65" s="97" t="s">
        <v>12</v>
      </c>
      <c r="N65" s="97" t="s">
        <v>169</v>
      </c>
      <c r="O65" s="72"/>
      <c r="P65" s="72"/>
      <c r="Q65" s="72"/>
      <c r="R65" s="72"/>
      <c r="S65" s="72"/>
      <c r="T65" s="72"/>
      <c r="U65" s="72"/>
      <c r="V65" s="171">
        <f>IF(G62="YES",1,2)</f>
        <v>2</v>
      </c>
      <c r="W65" s="75" t="s">
        <v>274</v>
      </c>
      <c r="X65" s="72"/>
      <c r="Y65" s="72"/>
      <c r="AA65" s="72"/>
      <c r="AB65" s="72"/>
      <c r="AC65" s="72"/>
      <c r="AD65" s="72"/>
      <c r="AE65" s="72"/>
      <c r="AF65" s="72"/>
      <c r="AG65" s="72"/>
      <c r="AH65" s="72"/>
      <c r="AI65" s="72"/>
    </row>
    <row r="66" spans="1:35">
      <c r="A66" s="72"/>
      <c r="B66" s="72"/>
      <c r="C66" s="72"/>
      <c r="D66" s="72"/>
      <c r="E66" s="72" t="str">
        <f>+E27</f>
        <v>Hotel</v>
      </c>
      <c r="G66" s="72"/>
      <c r="H66" s="7">
        <f>+H27</f>
        <v>0</v>
      </c>
      <c r="I66" s="98" t="str">
        <f>+$H$18</f>
        <v>EUR</v>
      </c>
      <c r="J66" s="72"/>
      <c r="K66" s="18">
        <f>+K27</f>
        <v>185</v>
      </c>
      <c r="L66" s="72"/>
      <c r="M66" s="19">
        <f>+M27</f>
        <v>2.5</v>
      </c>
      <c r="N66" s="6">
        <f>+N27</f>
        <v>0</v>
      </c>
      <c r="O66" s="72"/>
      <c r="P66" s="72"/>
      <c r="Q66" s="72"/>
      <c r="R66" s="72"/>
      <c r="S66" s="72"/>
      <c r="T66" s="72"/>
      <c r="U66" s="72"/>
      <c r="V66" s="72"/>
      <c r="W66" s="72"/>
      <c r="X66" s="72"/>
      <c r="Y66" s="72"/>
      <c r="AA66" s="72"/>
      <c r="AB66" s="72"/>
      <c r="AC66" s="72"/>
      <c r="AD66" s="72"/>
      <c r="AE66" s="249" t="s">
        <v>186</v>
      </c>
      <c r="AF66" s="249"/>
      <c r="AG66" s="72"/>
      <c r="AH66" s="72"/>
      <c r="AI66" s="72"/>
    </row>
    <row r="67" spans="1:35">
      <c r="A67" s="72"/>
      <c r="B67" s="72"/>
      <c r="C67" s="72"/>
      <c r="D67" s="72"/>
      <c r="E67" s="72"/>
      <c r="F67" s="72"/>
      <c r="G67" s="72"/>
      <c r="H67" s="72"/>
      <c r="I67" s="72"/>
      <c r="J67" s="72"/>
      <c r="K67" s="72"/>
      <c r="L67" s="72"/>
      <c r="M67" s="97"/>
      <c r="N67" s="106"/>
      <c r="O67" s="72"/>
      <c r="P67" s="72"/>
      <c r="Q67" s="72"/>
      <c r="R67" s="72"/>
      <c r="S67" s="72"/>
      <c r="T67" s="72"/>
      <c r="U67" s="72"/>
      <c r="V67" s="75" t="s">
        <v>6</v>
      </c>
      <c r="W67" s="72"/>
      <c r="X67" s="75" t="s">
        <v>321</v>
      </c>
      <c r="Y67" s="72"/>
      <c r="AA67" s="72"/>
      <c r="AB67" s="72"/>
      <c r="AC67" s="72"/>
      <c r="AD67" s="72"/>
      <c r="AE67" s="249"/>
      <c r="AF67" s="249"/>
      <c r="AG67" s="72"/>
      <c r="AH67" s="72"/>
      <c r="AI67" s="72"/>
    </row>
    <row r="68" spans="1:35" ht="13">
      <c r="A68" s="72"/>
      <c r="B68" s="72"/>
      <c r="C68" s="72"/>
      <c r="E68" s="74" t="s">
        <v>29</v>
      </c>
      <c r="F68" s="72"/>
      <c r="G68" s="72"/>
      <c r="H68" s="97" t="s">
        <v>7</v>
      </c>
      <c r="I68" s="98" t="s">
        <v>8</v>
      </c>
      <c r="J68" s="72"/>
      <c r="K68" s="97" t="str">
        <f>"Average/"&amp;$H$18</f>
        <v>Average/EUR</v>
      </c>
      <c r="L68" s="72"/>
      <c r="M68" s="97" t="s">
        <v>12</v>
      </c>
      <c r="N68" s="97" t="s">
        <v>10</v>
      </c>
      <c r="O68" s="72"/>
      <c r="P68" s="72"/>
      <c r="Q68" s="72"/>
      <c r="R68" s="72"/>
      <c r="S68" s="72"/>
      <c r="T68" s="72"/>
      <c r="U68" s="72"/>
      <c r="V68" s="75" t="s">
        <v>320</v>
      </c>
      <c r="W68" s="72"/>
      <c r="X68" s="164">
        <f>+U50</f>
        <v>1</v>
      </c>
      <c r="Y68" s="72"/>
      <c r="Z68" s="155" t="s">
        <v>255</v>
      </c>
      <c r="AA68" s="72">
        <f>SUM(I69:I70)</f>
        <v>100</v>
      </c>
      <c r="AB68" s="72"/>
      <c r="AC68" s="72"/>
      <c r="AD68" s="72"/>
      <c r="AE68" s="249"/>
      <c r="AF68" s="249"/>
      <c r="AG68" s="72"/>
      <c r="AH68" s="72"/>
      <c r="AI68" s="72"/>
    </row>
    <row r="69" spans="1:35" ht="13">
      <c r="A69" s="72"/>
      <c r="B69" s="72"/>
      <c r="C69" s="72"/>
      <c r="D69" s="118"/>
      <c r="E69" s="105" t="s">
        <v>26</v>
      </c>
      <c r="F69" s="72"/>
      <c r="G69" s="72"/>
      <c r="H69" s="106">
        <f>SUM(H$66/100*I69)</f>
        <v>0</v>
      </c>
      <c r="I69" s="48">
        <v>15</v>
      </c>
      <c r="J69" s="72"/>
      <c r="K69" s="10">
        <v>185</v>
      </c>
      <c r="L69" s="72"/>
      <c r="M69" s="13">
        <v>2</v>
      </c>
      <c r="N69" s="6">
        <f t="shared" ref="N69:N70" si="6">SUM(H69/K69)/M69</f>
        <v>0</v>
      </c>
      <c r="O69" s="72" t="s">
        <v>14</v>
      </c>
      <c r="P69" s="72"/>
      <c r="Q69" s="72"/>
      <c r="R69" s="72"/>
      <c r="S69" s="72"/>
      <c r="T69" s="72"/>
      <c r="U69" s="72"/>
      <c r="V69" s="72"/>
      <c r="W69" s="72"/>
      <c r="X69" s="164">
        <f>+X68</f>
        <v>1</v>
      </c>
      <c r="Y69" s="72"/>
      <c r="AA69" s="167">
        <f>IF(AA68=100,7,6)</f>
        <v>7</v>
      </c>
      <c r="AB69" s="167"/>
      <c r="AC69" s="72"/>
      <c r="AD69" s="72"/>
      <c r="AE69" s="249"/>
      <c r="AF69" s="249"/>
      <c r="AG69" s="72"/>
      <c r="AH69" s="72"/>
      <c r="AI69" s="72"/>
    </row>
    <row r="70" spans="1:35" ht="13">
      <c r="A70" s="72"/>
      <c r="B70" s="72"/>
      <c r="C70" s="72"/>
      <c r="D70" s="119"/>
      <c r="E70" s="105" t="s">
        <v>15</v>
      </c>
      <c r="F70" s="72"/>
      <c r="G70" s="72"/>
      <c r="H70" s="106">
        <f>SUM(H$66/100*I70)</f>
        <v>0</v>
      </c>
      <c r="I70" s="48">
        <v>85</v>
      </c>
      <c r="J70" s="72"/>
      <c r="K70" s="10">
        <v>185</v>
      </c>
      <c r="L70" s="72"/>
      <c r="M70" s="13">
        <v>2</v>
      </c>
      <c r="N70" s="6">
        <f t="shared" si="6"/>
        <v>0</v>
      </c>
      <c r="O70" s="72" t="s">
        <v>14</v>
      </c>
      <c r="P70" s="72"/>
      <c r="Q70" s="72"/>
      <c r="R70" s="72"/>
      <c r="S70" s="72"/>
      <c r="T70" s="72"/>
      <c r="U70" s="72"/>
      <c r="V70" s="47" t="s">
        <v>30</v>
      </c>
      <c r="W70" s="168"/>
      <c r="X70" s="4">
        <f>+N71</f>
        <v>0</v>
      </c>
      <c r="Y70" s="168"/>
      <c r="AA70" s="91"/>
      <c r="AB70" s="91"/>
      <c r="AC70" s="72"/>
      <c r="AD70" s="72"/>
      <c r="AE70" s="249"/>
      <c r="AF70" s="249"/>
      <c r="AG70" s="72"/>
      <c r="AH70" s="72"/>
      <c r="AI70" s="72"/>
    </row>
    <row r="71" spans="1:35" ht="13">
      <c r="A71" s="72"/>
      <c r="B71" s="72"/>
      <c r="C71" s="72"/>
      <c r="D71" s="119"/>
      <c r="E71" s="105"/>
      <c r="F71" s="72"/>
      <c r="G71" s="72"/>
      <c r="H71" s="120">
        <f>SUM(H69:H70)</f>
        <v>0</v>
      </c>
      <c r="I71" s="160" t="str">
        <f>IF(AA69=6,"Must be 100"," ")</f>
        <v xml:space="preserve"> </v>
      </c>
      <c r="J71" s="72"/>
      <c r="K71" s="72"/>
      <c r="L71" s="72"/>
      <c r="M71" s="72"/>
      <c r="N71" s="102">
        <f>ROUND(SUM(N69:N70),0)</f>
        <v>0</v>
      </c>
      <c r="O71" s="72"/>
      <c r="P71" s="72"/>
      <c r="Q71" s="72"/>
      <c r="R71" s="72"/>
      <c r="S71" s="72"/>
      <c r="T71" s="72"/>
      <c r="U71" s="72"/>
      <c r="V71" s="168"/>
      <c r="W71" s="168"/>
      <c r="X71" s="168"/>
      <c r="Y71" s="168"/>
      <c r="AA71" s="91"/>
      <c r="AB71" s="91"/>
      <c r="AC71" s="72"/>
      <c r="AD71" s="72"/>
      <c r="AE71" s="249"/>
      <c r="AF71" s="249"/>
      <c r="AG71" s="72"/>
      <c r="AH71" s="72"/>
      <c r="AI71" s="72"/>
    </row>
    <row r="72" spans="1:35" ht="13">
      <c r="A72" s="72"/>
      <c r="B72" s="72"/>
      <c r="C72" s="72"/>
      <c r="D72" s="119"/>
      <c r="E72" s="121" t="s">
        <v>191</v>
      </c>
      <c r="F72" s="72"/>
      <c r="G72" s="72"/>
      <c r="H72" s="119"/>
      <c r="I72" s="72"/>
      <c r="K72" s="72"/>
      <c r="L72" s="72"/>
      <c r="M72" s="72"/>
      <c r="N72" s="72"/>
      <c r="O72" s="72"/>
      <c r="P72" s="72"/>
      <c r="Q72" s="72"/>
      <c r="R72" s="72"/>
      <c r="S72" s="72"/>
      <c r="T72" s="51" t="s">
        <v>35</v>
      </c>
      <c r="U72" s="72"/>
      <c r="V72" s="47" t="s">
        <v>31</v>
      </c>
      <c r="W72" s="168"/>
      <c r="X72" s="4">
        <f>+N78</f>
        <v>0</v>
      </c>
      <c r="Y72" s="168"/>
      <c r="Z72" s="168"/>
      <c r="AA72" s="91"/>
      <c r="AB72" s="91"/>
      <c r="AC72" s="72"/>
      <c r="AD72" s="72"/>
      <c r="AE72" s="249"/>
      <c r="AF72" s="249"/>
      <c r="AG72" s="72"/>
      <c r="AH72" s="72"/>
      <c r="AI72" s="72"/>
    </row>
    <row r="73" spans="1:35" ht="13">
      <c r="A73" s="72"/>
      <c r="B73" s="72"/>
      <c r="C73" s="72"/>
      <c r="D73" s="119"/>
      <c r="E73" s="72"/>
      <c r="F73" s="72"/>
      <c r="G73" s="72"/>
      <c r="H73" s="119"/>
      <c r="I73" s="72"/>
      <c r="J73" s="72"/>
      <c r="K73" s="72"/>
      <c r="L73" s="72"/>
      <c r="M73" s="72"/>
      <c r="N73" s="72"/>
      <c r="O73" s="72"/>
      <c r="P73" s="72"/>
      <c r="Q73" s="72"/>
      <c r="R73" s="72"/>
      <c r="S73" s="72"/>
      <c r="T73" s="75" t="s">
        <v>319</v>
      </c>
      <c r="U73" s="72"/>
      <c r="V73" s="47" t="s">
        <v>5</v>
      </c>
      <c r="W73" s="168"/>
      <c r="X73" s="42">
        <f>+N85</f>
        <v>0</v>
      </c>
      <c r="Y73" s="168"/>
      <c r="Z73" s="168"/>
      <c r="AA73" s="91"/>
      <c r="AB73" s="91"/>
      <c r="AC73" s="72"/>
      <c r="AD73" s="72"/>
      <c r="AE73" s="249"/>
      <c r="AF73" s="249"/>
      <c r="AG73" s="72"/>
      <c r="AH73" s="72"/>
      <c r="AI73" s="72"/>
    </row>
    <row r="74" spans="1:35" ht="13">
      <c r="A74" s="72"/>
      <c r="B74" s="72"/>
      <c r="C74" s="72"/>
      <c r="D74" s="72"/>
      <c r="E74" s="74" t="s">
        <v>218</v>
      </c>
      <c r="F74" s="72"/>
      <c r="G74" s="72"/>
      <c r="H74" s="97" t="s">
        <v>7</v>
      </c>
      <c r="I74" s="98" t="s">
        <v>8</v>
      </c>
      <c r="J74" s="98" t="s">
        <v>8</v>
      </c>
      <c r="K74" s="97" t="str">
        <f>"Average/"&amp;$H$18</f>
        <v>Average/EUR</v>
      </c>
      <c r="L74" s="72"/>
      <c r="M74" s="97" t="s">
        <v>12</v>
      </c>
      <c r="N74" s="97" t="s">
        <v>10</v>
      </c>
      <c r="O74" s="72"/>
      <c r="P74" s="72"/>
      <c r="Q74" s="72"/>
      <c r="R74" s="72"/>
      <c r="S74" s="72"/>
      <c r="T74" s="97" t="s">
        <v>84</v>
      </c>
      <c r="U74" s="72"/>
      <c r="V74" s="168"/>
      <c r="W74" s="168"/>
      <c r="X74" s="172">
        <f>SUM(X73+X72)</f>
        <v>0</v>
      </c>
      <c r="Y74" s="168"/>
      <c r="Z74" s="168"/>
      <c r="AA74" s="91" t="s">
        <v>279</v>
      </c>
      <c r="AB74" s="91"/>
      <c r="AC74" s="72"/>
      <c r="AD74" s="72"/>
      <c r="AE74" s="72"/>
      <c r="AF74" s="72"/>
      <c r="AG74" s="72"/>
      <c r="AH74" s="72"/>
      <c r="AI74" s="72"/>
    </row>
    <row r="75" spans="1:35">
      <c r="A75" s="72"/>
      <c r="B75" s="72"/>
      <c r="C75" s="72"/>
      <c r="D75" s="72"/>
      <c r="E75" s="75" t="s">
        <v>170</v>
      </c>
      <c r="F75" s="72"/>
      <c r="G75" s="72"/>
      <c r="H75" s="106">
        <f>IF($X$68=9,SUM(H$69/100*J75),SUM(H$69/100*I75))</f>
        <v>0</v>
      </c>
      <c r="I75" s="48">
        <v>20</v>
      </c>
      <c r="J75" s="98">
        <f>IF(X68=9,100,I75)</f>
        <v>20</v>
      </c>
      <c r="K75" s="18">
        <f>+K69</f>
        <v>185</v>
      </c>
      <c r="L75" s="72"/>
      <c r="M75" s="19">
        <f>+M69</f>
        <v>2</v>
      </c>
      <c r="N75" s="7">
        <f>ROUND(SUM(H75/K75)/M75,0)</f>
        <v>0</v>
      </c>
      <c r="O75" s="72" t="s">
        <v>14</v>
      </c>
      <c r="P75" s="72"/>
      <c r="Q75" s="72"/>
      <c r="R75" s="72"/>
      <c r="S75" s="72"/>
      <c r="T75" s="7">
        <f>IF(N$78&lt;&gt;0,SUM(N75/N$78*100),0)</f>
        <v>0</v>
      </c>
      <c r="U75" s="72"/>
      <c r="V75" s="168"/>
      <c r="W75" s="168"/>
      <c r="X75" s="168"/>
      <c r="Y75" s="168"/>
      <c r="Z75" s="168"/>
      <c r="AA75" s="177" t="s">
        <v>253</v>
      </c>
      <c r="AB75" s="184">
        <f>SUM(I75:I77)</f>
        <v>100</v>
      </c>
      <c r="AC75" s="184"/>
      <c r="AD75" s="72"/>
      <c r="AE75" s="72"/>
      <c r="AF75" s="72"/>
      <c r="AG75" s="72"/>
      <c r="AH75" s="72"/>
      <c r="AI75" s="72"/>
    </row>
    <row r="76" spans="1:35">
      <c r="A76" s="72"/>
      <c r="B76" s="72"/>
      <c r="C76" s="72"/>
      <c r="D76" s="72"/>
      <c r="E76" s="72" t="s">
        <v>166</v>
      </c>
      <c r="F76" s="72"/>
      <c r="G76" s="72"/>
      <c r="H76" s="106">
        <f>IF($X$68=9,SUM(H$69/100*J76),SUM(H$69/100*I76))</f>
        <v>0</v>
      </c>
      <c r="I76" s="48">
        <v>40</v>
      </c>
      <c r="J76" s="98">
        <f>IF(J75=100,0,I76)</f>
        <v>40</v>
      </c>
      <c r="K76" s="18">
        <f>+K75</f>
        <v>185</v>
      </c>
      <c r="L76" s="72"/>
      <c r="M76" s="19">
        <f>+M75</f>
        <v>2</v>
      </c>
      <c r="N76" s="6">
        <f t="shared" ref="N76:N77" si="7">SUM(H76/K76)/M76</f>
        <v>0</v>
      </c>
      <c r="O76" s="72" t="s">
        <v>14</v>
      </c>
      <c r="P76" s="72"/>
      <c r="Q76" s="72"/>
      <c r="R76" s="72"/>
      <c r="S76" s="72"/>
      <c r="T76" s="7">
        <f t="shared" ref="T76:T78" si="8">IF(N$78&lt;&gt;0,SUM(N76/N$78*100),0)</f>
        <v>0</v>
      </c>
      <c r="U76" s="72"/>
      <c r="V76" s="168"/>
      <c r="W76" s="168"/>
      <c r="X76" s="171">
        <f>IF(X70&lt;&gt;0,SUM(X74/X70),0)</f>
        <v>0</v>
      </c>
      <c r="Y76" s="168" t="str">
        <f>IF(X76=1,"OK","Error")</f>
        <v>Error</v>
      </c>
      <c r="Z76" s="168"/>
      <c r="AA76" s="184"/>
      <c r="AB76" s="184">
        <f>IF(AB75&lt;&gt;100,9,1)</f>
        <v>1</v>
      </c>
      <c r="AC76" s="184"/>
      <c r="AD76" s="72"/>
      <c r="AE76" s="72"/>
      <c r="AF76" s="72"/>
      <c r="AG76" s="72"/>
      <c r="AH76" s="72"/>
      <c r="AI76" s="72"/>
    </row>
    <row r="77" spans="1:35">
      <c r="A77" s="72"/>
      <c r="B77" s="72"/>
      <c r="C77" s="72"/>
      <c r="D77" s="72"/>
      <c r="E77" s="72" t="s">
        <v>167</v>
      </c>
      <c r="F77" s="72"/>
      <c r="G77" s="72"/>
      <c r="H77" s="106">
        <f>IF($X$68=9,SUM(H$69/100*J77),SUM(H$69/100*I77))</f>
        <v>0</v>
      </c>
      <c r="I77" s="48">
        <v>40</v>
      </c>
      <c r="J77" s="98">
        <f>IF(J75=100,0,I77)</f>
        <v>40</v>
      </c>
      <c r="K77" s="10">
        <v>185</v>
      </c>
      <c r="L77" s="72"/>
      <c r="M77" s="19">
        <f>+M76</f>
        <v>2</v>
      </c>
      <c r="N77" s="6">
        <f t="shared" si="7"/>
        <v>0</v>
      </c>
      <c r="O77" s="72" t="s">
        <v>14</v>
      </c>
      <c r="P77" s="72"/>
      <c r="Q77" s="72"/>
      <c r="R77" s="72"/>
      <c r="S77" s="72"/>
      <c r="T77" s="7">
        <f t="shared" si="8"/>
        <v>0</v>
      </c>
      <c r="U77" s="72"/>
      <c r="V77" s="72"/>
      <c r="W77" s="72"/>
      <c r="X77" s="72"/>
      <c r="Y77" s="72"/>
      <c r="AA77" s="177" t="s">
        <v>254</v>
      </c>
      <c r="AB77" s="166" t="b">
        <f>IF(AB76=9,IF(X68&lt;&gt;9,6,7))</f>
        <v>0</v>
      </c>
      <c r="AC77" s="166"/>
      <c r="AD77" s="72"/>
      <c r="AE77" s="72"/>
      <c r="AF77" s="72"/>
      <c r="AG77" s="72"/>
      <c r="AH77" s="72"/>
      <c r="AI77" s="72"/>
    </row>
    <row r="78" spans="1:35" ht="13">
      <c r="A78" s="72"/>
      <c r="B78" s="72"/>
      <c r="C78" s="72"/>
      <c r="D78" s="72" t="s">
        <v>171</v>
      </c>
      <c r="E78" s="72"/>
      <c r="F78" s="103"/>
      <c r="G78" s="72"/>
      <c r="H78" s="106">
        <f>SUM(H75:H77)</f>
        <v>0</v>
      </c>
      <c r="I78" s="160" t="str">
        <f>IF(AB77=6,"Must be 100"," ")</f>
        <v xml:space="preserve"> </v>
      </c>
      <c r="J78" s="72"/>
      <c r="K78" s="72"/>
      <c r="L78" s="72"/>
      <c r="M78" s="99" t="s">
        <v>33</v>
      </c>
      <c r="N78" s="106">
        <f>ROUND(SUM(N75:N77),0)</f>
        <v>0</v>
      </c>
      <c r="O78" s="72" t="s">
        <v>14</v>
      </c>
      <c r="P78" s="72"/>
      <c r="Q78" s="72"/>
      <c r="R78" s="72"/>
      <c r="S78" s="72"/>
      <c r="T78" s="222">
        <f t="shared" si="8"/>
        <v>0</v>
      </c>
      <c r="U78" s="72"/>
      <c r="V78" s="208" t="s">
        <v>318</v>
      </c>
      <c r="W78" s="168"/>
      <c r="X78" s="168"/>
      <c r="Y78" s="168"/>
      <c r="Z78" s="168"/>
      <c r="AA78" s="91"/>
      <c r="AB78" s="91"/>
      <c r="AC78" s="72"/>
      <c r="AD78" s="72"/>
      <c r="AE78" s="72"/>
      <c r="AF78" s="72"/>
      <c r="AG78" s="72"/>
      <c r="AH78" s="72"/>
      <c r="AI78" s="72"/>
    </row>
    <row r="79" spans="1:35" ht="13">
      <c r="A79" s="72"/>
      <c r="B79" s="72"/>
      <c r="C79" s="72"/>
      <c r="D79" s="72"/>
      <c r="E79" s="72"/>
      <c r="F79" s="72"/>
      <c r="G79" s="72"/>
      <c r="H79" s="72"/>
      <c r="I79" s="72"/>
      <c r="K79" s="72"/>
      <c r="L79" s="72"/>
      <c r="M79" s="72"/>
      <c r="N79" s="72"/>
      <c r="O79" s="72"/>
      <c r="P79" s="72"/>
      <c r="Q79" s="72"/>
      <c r="R79" s="72"/>
      <c r="S79" s="72"/>
      <c r="U79" s="72"/>
      <c r="V79" s="208" t="s">
        <v>317</v>
      </c>
      <c r="W79" s="168"/>
      <c r="X79" s="4">
        <f>+N75</f>
        <v>0</v>
      </c>
      <c r="Y79" s="168"/>
      <c r="Z79" s="168"/>
      <c r="AA79" s="91"/>
      <c r="AB79" s="91"/>
      <c r="AC79" s="72"/>
      <c r="AD79" s="72"/>
      <c r="AE79" s="72"/>
      <c r="AF79" s="72"/>
      <c r="AG79" s="72"/>
      <c r="AH79" s="72"/>
      <c r="AI79" s="72"/>
    </row>
    <row r="80" spans="1:35" ht="13">
      <c r="A80" s="72"/>
      <c r="B80" s="72"/>
      <c r="C80" s="72"/>
      <c r="D80" s="72"/>
      <c r="E80" s="72"/>
      <c r="F80" s="72"/>
      <c r="G80" s="72"/>
      <c r="H80" s="72"/>
      <c r="I80" s="72"/>
      <c r="K80" s="72"/>
      <c r="L80" s="72"/>
      <c r="M80" s="72"/>
      <c r="N80" s="72"/>
      <c r="O80" s="72"/>
      <c r="P80" s="72"/>
      <c r="Q80" s="72"/>
      <c r="R80" s="72"/>
      <c r="S80" s="72"/>
      <c r="T80" s="75" t="s">
        <v>319</v>
      </c>
      <c r="U80" s="72"/>
      <c r="V80" s="208" t="s">
        <v>319</v>
      </c>
      <c r="W80" s="168"/>
      <c r="X80" s="4">
        <f>+N82</f>
        <v>0</v>
      </c>
      <c r="Y80" s="168"/>
      <c r="Z80" s="168"/>
      <c r="AA80" s="91"/>
      <c r="AB80" s="91"/>
      <c r="AC80" s="72"/>
      <c r="AD80" s="72"/>
      <c r="AE80" s="72"/>
      <c r="AF80" s="72"/>
      <c r="AG80" s="72"/>
      <c r="AH80" s="72"/>
      <c r="AI80" s="72"/>
    </row>
    <row r="81" spans="1:83" ht="13">
      <c r="A81" s="72"/>
      <c r="B81" s="72"/>
      <c r="C81" s="72"/>
      <c r="E81" s="74" t="s">
        <v>219</v>
      </c>
      <c r="F81" s="72"/>
      <c r="G81" s="72"/>
      <c r="H81" s="97" t="s">
        <v>7</v>
      </c>
      <c r="I81" s="98" t="s">
        <v>8</v>
      </c>
      <c r="J81" s="115" t="s">
        <v>8</v>
      </c>
      <c r="K81" s="97" t="str">
        <f>"Average/"&amp;$H$18</f>
        <v>Average/EUR</v>
      </c>
      <c r="L81" s="72"/>
      <c r="M81" s="97" t="s">
        <v>12</v>
      </c>
      <c r="N81" s="97" t="s">
        <v>10</v>
      </c>
      <c r="O81" s="72"/>
      <c r="P81" s="72"/>
      <c r="Q81" s="72"/>
      <c r="R81" s="72"/>
      <c r="T81" s="97" t="s">
        <v>84</v>
      </c>
      <c r="U81" s="72"/>
      <c r="V81" s="208" t="s">
        <v>27</v>
      </c>
      <c r="W81" s="168"/>
      <c r="X81" s="172">
        <f>SUM(X79:X80)</f>
        <v>0</v>
      </c>
      <c r="Y81" s="210" t="e">
        <f>SUM(X81/X74*100)</f>
        <v>#DIV/0!</v>
      </c>
      <c r="Z81" s="208" t="s">
        <v>324</v>
      </c>
      <c r="AA81" s="91"/>
      <c r="AB81" s="91"/>
      <c r="AC81" s="72"/>
      <c r="AD81" s="72"/>
      <c r="AE81" s="72"/>
      <c r="AF81" s="72"/>
      <c r="AG81" s="72"/>
      <c r="AH81" s="72"/>
      <c r="AI81" s="72"/>
    </row>
    <row r="82" spans="1:83">
      <c r="A82" s="72"/>
      <c r="B82" s="72"/>
      <c r="C82" s="72"/>
      <c r="D82" s="72"/>
      <c r="E82" s="75" t="s">
        <v>170</v>
      </c>
      <c r="F82" s="72"/>
      <c r="G82" s="72"/>
      <c r="H82" s="106">
        <f>IF($X$68=9,SUM(H$70/100*J82),SUM(H$70/100*I82))</f>
        <v>0</v>
      </c>
      <c r="I82" s="48">
        <v>20</v>
      </c>
      <c r="J82" s="98">
        <f>IF(X69=9,100,I82)</f>
        <v>20</v>
      </c>
      <c r="K82" s="18">
        <f>+K70</f>
        <v>185</v>
      </c>
      <c r="L82" s="72"/>
      <c r="M82" s="19">
        <f>+M70</f>
        <v>2</v>
      </c>
      <c r="N82" s="6">
        <f>ROUND(SUM(H82/K82)/M82,0)</f>
        <v>0</v>
      </c>
      <c r="O82" s="72" t="s">
        <v>14</v>
      </c>
      <c r="P82" s="72"/>
      <c r="Q82" s="75" t="s">
        <v>326</v>
      </c>
      <c r="R82" s="211" t="s">
        <v>327</v>
      </c>
      <c r="S82" s="75" t="s">
        <v>324</v>
      </c>
      <c r="T82" s="7">
        <f>IF(N$85&lt;&gt;0,SUM(N82/N$85*100),0)</f>
        <v>0</v>
      </c>
      <c r="U82" s="72"/>
      <c r="V82" s="75" t="s">
        <v>322</v>
      </c>
      <c r="W82" s="72"/>
      <c r="X82" s="72"/>
      <c r="Y82" s="72"/>
      <c r="AA82" s="51" t="s">
        <v>280</v>
      </c>
      <c r="AC82" s="72"/>
      <c r="AD82" s="72"/>
      <c r="AE82" s="72"/>
      <c r="AF82" s="72"/>
      <c r="AG82" s="72"/>
      <c r="AH82" s="72"/>
      <c r="AI82" s="72"/>
    </row>
    <row r="83" spans="1:83">
      <c r="A83" s="72"/>
      <c r="B83" s="72"/>
      <c r="C83" s="72"/>
      <c r="D83" s="72"/>
      <c r="E83" s="72" t="s">
        <v>166</v>
      </c>
      <c r="F83" s="72"/>
      <c r="G83" s="72"/>
      <c r="H83" s="106">
        <f>IF($X$68=9,SUM(H$70/100*J83),SUM(H$70/100*I83))</f>
        <v>0</v>
      </c>
      <c r="I83" s="48">
        <v>40</v>
      </c>
      <c r="J83" s="98">
        <f>IF(J82=100,0,I83)</f>
        <v>40</v>
      </c>
      <c r="K83" s="18">
        <f>+K82</f>
        <v>185</v>
      </c>
      <c r="L83" s="72"/>
      <c r="M83" s="19">
        <f>+M82</f>
        <v>2</v>
      </c>
      <c r="N83" s="6">
        <f t="shared" ref="N83:N84" si="9">SUM(H83/K83)/M83</f>
        <v>0</v>
      </c>
      <c r="O83" s="72" t="s">
        <v>14</v>
      </c>
      <c r="P83" s="72"/>
      <c r="Q83" s="75" t="s">
        <v>325</v>
      </c>
      <c r="R83" s="3">
        <f>+N75+N82</f>
        <v>0</v>
      </c>
      <c r="S83" s="220" t="e">
        <f>SUM(R83/R$86*100)</f>
        <v>#DIV/0!</v>
      </c>
      <c r="T83" s="7">
        <f t="shared" ref="T83:T85" si="10">IF(N$85&lt;&gt;0,SUM(N83/N$85*100),0)</f>
        <v>0</v>
      </c>
      <c r="U83" s="72"/>
      <c r="V83" s="168" t="s">
        <v>24</v>
      </c>
      <c r="W83" s="168">
        <f>IF(V65=1,N87,0)</f>
        <v>0</v>
      </c>
      <c r="X83" s="168"/>
      <c r="Y83" s="168"/>
      <c r="AA83" s="177" t="s">
        <v>253</v>
      </c>
      <c r="AB83" s="184">
        <f>SUM(I82:I84)</f>
        <v>100</v>
      </c>
      <c r="AC83" s="184"/>
      <c r="AD83" s="72"/>
      <c r="AE83" s="72"/>
      <c r="AF83" s="72"/>
      <c r="AG83" s="72"/>
      <c r="AH83" s="72"/>
      <c r="AI83" s="72"/>
    </row>
    <row r="84" spans="1:83">
      <c r="A84" s="72"/>
      <c r="B84" s="72"/>
      <c r="C84" s="72"/>
      <c r="D84" s="72"/>
      <c r="E84" s="72" t="s">
        <v>167</v>
      </c>
      <c r="F84" s="72"/>
      <c r="G84" s="72"/>
      <c r="H84" s="106">
        <f>IF($X$68=9,SUM(H$70/100*J84),SUM(H$70/100*I84))</f>
        <v>0</v>
      </c>
      <c r="I84" s="48">
        <v>40</v>
      </c>
      <c r="J84" s="98">
        <f>IF(J82=100,0,I84)</f>
        <v>40</v>
      </c>
      <c r="K84" s="10">
        <v>185</v>
      </c>
      <c r="L84" s="72"/>
      <c r="M84" s="19">
        <f>+M83</f>
        <v>2</v>
      </c>
      <c r="N84" s="6">
        <f t="shared" si="9"/>
        <v>0</v>
      </c>
      <c r="O84" s="72" t="s">
        <v>14</v>
      </c>
      <c r="P84" s="72"/>
      <c r="Q84" s="75" t="s">
        <v>314</v>
      </c>
      <c r="R84" s="3">
        <f>+N76+N83</f>
        <v>0</v>
      </c>
      <c r="S84" s="220" t="e">
        <f>SUM(R84/R$86*100)</f>
        <v>#DIV/0!</v>
      </c>
      <c r="T84" s="7">
        <f t="shared" si="10"/>
        <v>0</v>
      </c>
      <c r="U84" s="72"/>
      <c r="V84" s="168" t="s">
        <v>25</v>
      </c>
      <c r="W84" s="168">
        <f>IF(V65=2,N66,0)</f>
        <v>0</v>
      </c>
      <c r="X84" s="168"/>
      <c r="Y84" s="168"/>
      <c r="AA84" s="184"/>
      <c r="AB84" s="184">
        <f>IF(AB83&lt;&gt;100,9,1)</f>
        <v>1</v>
      </c>
      <c r="AC84" s="184"/>
      <c r="AD84" s="72"/>
      <c r="AE84" s="72"/>
      <c r="AF84" s="72"/>
      <c r="AG84" s="72"/>
      <c r="AH84" s="72"/>
      <c r="AI84" s="72"/>
    </row>
    <row r="85" spans="1:83">
      <c r="A85" s="72"/>
      <c r="B85" s="72"/>
      <c r="C85" s="72"/>
      <c r="D85" s="72"/>
      <c r="E85" s="72"/>
      <c r="F85" s="103"/>
      <c r="G85" s="72"/>
      <c r="H85" s="106">
        <f>SUM(H82:H84)</f>
        <v>0</v>
      </c>
      <c r="I85" s="160" t="str">
        <f>IF(AB85=6,"Must be 100"," ")</f>
        <v xml:space="preserve"> </v>
      </c>
      <c r="J85" s="72"/>
      <c r="K85" s="72"/>
      <c r="L85" s="72"/>
      <c r="M85" s="99" t="s">
        <v>33</v>
      </c>
      <c r="N85" s="106">
        <f>ROUND(SUM(N82:N84),0)</f>
        <v>0</v>
      </c>
      <c r="O85" s="72" t="s">
        <v>14</v>
      </c>
      <c r="P85" s="72"/>
      <c r="Q85" s="212" t="s">
        <v>16</v>
      </c>
      <c r="R85" s="213">
        <f>+N77+N84</f>
        <v>0</v>
      </c>
      <c r="S85" s="221" t="e">
        <f>SUM(R85/R$86*100)</f>
        <v>#DIV/0!</v>
      </c>
      <c r="T85" s="222">
        <f t="shared" si="10"/>
        <v>0</v>
      </c>
      <c r="U85" s="72"/>
      <c r="V85" s="168"/>
      <c r="W85" s="209">
        <f>SUM(W83:W84)</f>
        <v>0</v>
      </c>
      <c r="X85" s="168"/>
      <c r="Y85" s="168"/>
      <c r="AA85" s="177" t="s">
        <v>254</v>
      </c>
      <c r="AB85" s="166" t="b">
        <f>IF(AB84=9,IF(X69&lt;&gt;9,6,7))</f>
        <v>0</v>
      </c>
      <c r="AC85" s="166"/>
      <c r="AD85" s="72"/>
      <c r="AE85" s="72"/>
      <c r="AF85" s="72"/>
      <c r="AG85" s="72"/>
      <c r="AH85" s="72"/>
      <c r="AI85" s="72"/>
    </row>
    <row r="86" spans="1:83" ht="13">
      <c r="A86" s="72"/>
      <c r="B86" s="72"/>
      <c r="C86" s="72"/>
      <c r="D86" s="72"/>
      <c r="E86" s="72"/>
      <c r="F86" s="72"/>
      <c r="G86" s="72"/>
      <c r="H86" s="72"/>
      <c r="I86" s="72"/>
      <c r="J86" s="72"/>
      <c r="K86" s="72"/>
      <c r="L86" s="72"/>
      <c r="M86" s="72"/>
      <c r="N86" s="72"/>
      <c r="O86" s="72"/>
      <c r="P86" s="72"/>
      <c r="Q86" s="72"/>
      <c r="R86" s="106">
        <f>SUM(R83:R85)</f>
        <v>0</v>
      </c>
      <c r="S86" s="101" t="e">
        <f>SUM(R86/R$86*100)</f>
        <v>#DIV/0!</v>
      </c>
      <c r="U86" s="72"/>
      <c r="V86" s="168"/>
      <c r="W86" s="168" t="s">
        <v>23</v>
      </c>
      <c r="X86" s="168"/>
      <c r="Y86" s="168"/>
      <c r="AA86" s="91"/>
      <c r="AB86" s="91"/>
      <c r="AC86" s="72"/>
      <c r="AD86" s="72"/>
      <c r="AE86" s="72"/>
      <c r="AF86" s="72"/>
      <c r="AG86" s="72"/>
      <c r="AH86" s="72"/>
      <c r="AI86" s="72"/>
    </row>
    <row r="87" spans="1:83" ht="13">
      <c r="A87" s="72"/>
      <c r="B87" s="72"/>
      <c r="C87" s="72"/>
      <c r="D87" s="72"/>
      <c r="E87" s="72"/>
      <c r="F87" s="72"/>
      <c r="G87" s="72"/>
      <c r="H87" s="72"/>
      <c r="I87" s="72"/>
      <c r="J87" s="72"/>
      <c r="K87" s="75" t="s">
        <v>263</v>
      </c>
      <c r="L87" s="72"/>
      <c r="M87" s="169" t="s">
        <v>27</v>
      </c>
      <c r="N87" s="7">
        <f>ROUND(SUM(N85+N78),0)</f>
        <v>0</v>
      </c>
      <c r="O87" s="72"/>
      <c r="P87" s="72"/>
      <c r="Q87" s="72"/>
      <c r="R87" s="72"/>
      <c r="S87" s="72"/>
      <c r="T87" s="72"/>
      <c r="U87" s="72"/>
      <c r="V87" s="75" t="s">
        <v>323</v>
      </c>
      <c r="W87" s="72"/>
      <c r="X87" s="72"/>
      <c r="Y87" s="72"/>
      <c r="AA87" s="91"/>
      <c r="AB87" s="91"/>
      <c r="AC87" s="72"/>
      <c r="AD87" s="72"/>
      <c r="AE87" s="72"/>
      <c r="AF87" s="72"/>
      <c r="AG87" s="72"/>
      <c r="AH87" s="72"/>
      <c r="AI87" s="72"/>
    </row>
    <row r="88" spans="1:83" ht="13">
      <c r="A88" s="72"/>
      <c r="B88" s="72"/>
      <c r="C88" s="72"/>
      <c r="D88" s="72"/>
      <c r="E88" s="72"/>
      <c r="F88" s="72"/>
      <c r="G88" s="72"/>
      <c r="H88" s="72"/>
      <c r="I88" s="72"/>
      <c r="J88" s="72"/>
      <c r="K88" s="72"/>
      <c r="L88" s="72"/>
      <c r="M88" s="72"/>
      <c r="N88" s="72"/>
      <c r="O88" s="72"/>
      <c r="P88" s="72"/>
      <c r="Q88" s="72"/>
      <c r="R88" s="72"/>
      <c r="S88" s="72"/>
      <c r="T88" s="72"/>
      <c r="U88" s="72"/>
      <c r="V88" s="172">
        <f>+N87</f>
        <v>0</v>
      </c>
      <c r="W88" s="173">
        <f>+W85</f>
        <v>0</v>
      </c>
      <c r="X88" s="172">
        <f>IF(W88&lt;&gt;0,SUM(V88/W88),0)</f>
        <v>0</v>
      </c>
      <c r="Y88" s="72" t="str">
        <f>IF(V65=1,"OK","Error")</f>
        <v>Error</v>
      </c>
      <c r="AA88" s="91"/>
      <c r="AB88" s="91"/>
      <c r="AC88" s="72"/>
      <c r="AD88" s="72"/>
      <c r="AE88" s="72"/>
      <c r="AF88" s="72"/>
      <c r="AG88" s="72"/>
      <c r="AH88" s="72"/>
      <c r="AI88" s="72"/>
    </row>
    <row r="89" spans="1:83" s="52" customFormat="1" ht="7" customHeight="1">
      <c r="M89" s="53"/>
      <c r="N89" s="54"/>
      <c r="Z89" s="153"/>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c r="BL89" s="72"/>
      <c r="BM89" s="72"/>
      <c r="BN89" s="72"/>
      <c r="BO89" s="72"/>
      <c r="BP89" s="72"/>
      <c r="BQ89" s="72"/>
      <c r="BR89" s="72"/>
      <c r="BS89" s="72"/>
      <c r="BT89" s="72"/>
      <c r="BU89" s="72"/>
      <c r="BV89" s="72"/>
      <c r="BW89" s="72"/>
      <c r="BX89" s="72"/>
      <c r="BY89" s="72"/>
      <c r="BZ89" s="72"/>
      <c r="CA89" s="72"/>
      <c r="CB89" s="72"/>
      <c r="CC89" s="72"/>
      <c r="CD89" s="72"/>
      <c r="CE89" s="72"/>
    </row>
    <row r="90" spans="1:83" s="110" customFormat="1" ht="19" customHeight="1">
      <c r="A90" s="110" t="s">
        <v>192</v>
      </c>
      <c r="B90" s="110" t="s">
        <v>194</v>
      </c>
      <c r="M90" s="111"/>
      <c r="N90" s="112"/>
      <c r="Z90" s="156"/>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row>
    <row r="91" spans="1:83" s="72" customFormat="1" ht="15" customHeight="1">
      <c r="A91" s="75"/>
      <c r="B91" s="75"/>
      <c r="M91" s="97"/>
      <c r="N91" s="106"/>
      <c r="Z91" s="153"/>
    </row>
    <row r="92" spans="1:83" s="72" customFormat="1" ht="15" customHeight="1">
      <c r="A92" s="75"/>
      <c r="B92" s="75"/>
      <c r="M92" s="97"/>
      <c r="N92" s="106"/>
      <c r="Z92" s="153"/>
    </row>
    <row r="93" spans="1:83" s="72" customFormat="1" ht="13" hidden="1">
      <c r="M93" s="105"/>
      <c r="N93" s="106"/>
      <c r="P93" s="177" t="s">
        <v>276</v>
      </c>
      <c r="Q93" s="177"/>
      <c r="R93" s="184"/>
      <c r="V93" s="106"/>
      <c r="W93" s="117"/>
      <c r="X93" s="106"/>
      <c r="Z93" s="153"/>
      <c r="AA93" s="91"/>
      <c r="AB93" s="91"/>
    </row>
    <row r="94" spans="1:83" ht="13" hidden="1">
      <c r="A94" s="72"/>
      <c r="C94" s="74" t="s">
        <v>54</v>
      </c>
      <c r="D94" s="72"/>
      <c r="E94" s="75" t="s">
        <v>277</v>
      </c>
      <c r="F94" s="100" t="s">
        <v>16</v>
      </c>
      <c r="G94" s="100" t="s">
        <v>43</v>
      </c>
      <c r="H94" s="100" t="s">
        <v>52</v>
      </c>
      <c r="I94" s="100"/>
      <c r="J94" s="100"/>
      <c r="K94" s="100" t="s">
        <v>53</v>
      </c>
      <c r="L94" s="126"/>
      <c r="M94" s="22" t="s">
        <v>32</v>
      </c>
      <c r="N94" s="22" t="s">
        <v>27</v>
      </c>
      <c r="O94" s="72"/>
      <c r="P94" s="74" t="s">
        <v>275</v>
      </c>
      <c r="Q94" s="74"/>
      <c r="R94" s="72"/>
      <c r="S94" s="72"/>
      <c r="T94" s="72"/>
      <c r="U94" s="72"/>
      <c r="V94" s="106"/>
      <c r="W94" s="117"/>
      <c r="X94" s="106"/>
      <c r="Y94" s="72"/>
      <c r="AA94" s="91"/>
      <c r="AB94" s="91"/>
      <c r="AC94" s="72"/>
      <c r="AD94" s="72"/>
      <c r="AE94" s="72"/>
      <c r="AF94" s="72"/>
      <c r="AG94" s="72"/>
      <c r="AH94" s="72"/>
      <c r="AI94" s="72"/>
    </row>
    <row r="95" spans="1:83" ht="13" hidden="1">
      <c r="A95" s="72"/>
      <c r="B95" s="105"/>
      <c r="C95" s="75" t="s">
        <v>183</v>
      </c>
      <c r="D95" s="72"/>
      <c r="E95" s="185" t="str">
        <f>+G46</f>
        <v>No</v>
      </c>
      <c r="F95" s="6">
        <f>+N55</f>
        <v>0</v>
      </c>
      <c r="G95" s="6">
        <f>+N54</f>
        <v>0</v>
      </c>
      <c r="H95" s="6">
        <f>+N53</f>
        <v>0</v>
      </c>
      <c r="I95" s="128"/>
      <c r="J95" s="126"/>
      <c r="K95" s="126"/>
      <c r="L95" s="126"/>
      <c r="M95" s="181">
        <f>SUM(F95:H95)</f>
        <v>0</v>
      </c>
      <c r="N95" s="182">
        <f>+M95</f>
        <v>0</v>
      </c>
      <c r="O95" s="72"/>
      <c r="P95" s="6">
        <f>+N50</f>
        <v>0</v>
      </c>
      <c r="Q95" s="4"/>
      <c r="R95" s="75" t="s">
        <v>183</v>
      </c>
      <c r="S95" s="72"/>
      <c r="T95" s="72"/>
      <c r="U95" s="72"/>
      <c r="V95" s="106"/>
      <c r="W95" s="117"/>
      <c r="X95" s="106"/>
      <c r="Y95" s="72"/>
      <c r="AA95" s="91"/>
      <c r="AB95" s="91"/>
      <c r="AC95" s="72"/>
      <c r="AD95" s="72"/>
      <c r="AE95" s="72"/>
      <c r="AF95" s="72"/>
      <c r="AG95" s="72"/>
      <c r="AH95" s="72"/>
      <c r="AI95" s="72"/>
    </row>
    <row r="96" spans="1:83" ht="5" hidden="1" customHeight="1">
      <c r="A96" s="72"/>
      <c r="B96" s="105"/>
      <c r="C96" s="105"/>
      <c r="D96" s="105"/>
      <c r="E96" s="72"/>
      <c r="F96" s="105"/>
      <c r="G96" s="105"/>
      <c r="H96" s="11"/>
      <c r="I96" s="105"/>
      <c r="J96" s="105"/>
      <c r="K96" s="105"/>
      <c r="L96" s="105"/>
      <c r="M96" s="11"/>
      <c r="N96" s="105"/>
      <c r="O96" s="105"/>
      <c r="P96" s="105"/>
      <c r="Q96" s="105"/>
      <c r="R96" s="72"/>
      <c r="S96" s="72"/>
      <c r="T96" s="72"/>
      <c r="U96" s="72"/>
      <c r="V96" s="106"/>
      <c r="W96" s="117"/>
      <c r="X96" s="106"/>
      <c r="Y96" s="72"/>
      <c r="AA96" s="91"/>
      <c r="AB96" s="91"/>
      <c r="AC96" s="72"/>
      <c r="AD96" s="72"/>
      <c r="AE96" s="72"/>
      <c r="AF96" s="72"/>
      <c r="AG96" s="72"/>
      <c r="AH96" s="72"/>
      <c r="AI96" s="72"/>
    </row>
    <row r="97" spans="1:35" ht="13" hidden="1">
      <c r="A97" s="72"/>
      <c r="B97" s="72"/>
      <c r="C97" s="105" t="s">
        <v>50</v>
      </c>
      <c r="D97" s="72"/>
      <c r="E97" s="185" t="str">
        <f>+G62</f>
        <v>No</v>
      </c>
      <c r="F97" s="6">
        <f>+N77</f>
        <v>0</v>
      </c>
      <c r="G97" s="6">
        <f>+N76</f>
        <v>0</v>
      </c>
      <c r="H97" s="126"/>
      <c r="I97" s="126"/>
      <c r="J97" s="126"/>
      <c r="K97" s="6">
        <f>+N75</f>
        <v>0</v>
      </c>
      <c r="L97" s="126"/>
      <c r="M97" s="181">
        <f t="shared" ref="M97:M98" si="11">SUM(F97:K97)</f>
        <v>0</v>
      </c>
      <c r="N97" s="105"/>
      <c r="O97" s="72"/>
      <c r="P97" s="6">
        <f>+N66</f>
        <v>0</v>
      </c>
      <c r="Q97" s="4"/>
      <c r="R97" s="75" t="s">
        <v>1</v>
      </c>
      <c r="S97" s="72"/>
      <c r="T97" s="72"/>
      <c r="U97" s="72"/>
      <c r="V97" s="106"/>
      <c r="W97" s="117"/>
      <c r="X97" s="106"/>
      <c r="Y97" s="72"/>
      <c r="AA97" s="91"/>
      <c r="AB97" s="91"/>
      <c r="AC97" s="72"/>
      <c r="AD97" s="72"/>
      <c r="AE97" s="72"/>
      <c r="AF97" s="72"/>
      <c r="AG97" s="72"/>
      <c r="AH97" s="72"/>
      <c r="AI97" s="72"/>
    </row>
    <row r="98" spans="1:35" ht="13" hidden="1">
      <c r="A98" s="72"/>
      <c r="B98" s="72"/>
      <c r="C98" s="105" t="s">
        <v>51</v>
      </c>
      <c r="D98" s="72"/>
      <c r="E98" s="185" t="str">
        <f>+E97</f>
        <v>No</v>
      </c>
      <c r="F98" s="6">
        <f>+N84</f>
        <v>0</v>
      </c>
      <c r="G98" s="6">
        <f>+N83</f>
        <v>0</v>
      </c>
      <c r="H98" s="126"/>
      <c r="I98" s="126"/>
      <c r="J98" s="126"/>
      <c r="K98" s="6">
        <f>+N82</f>
        <v>0</v>
      </c>
      <c r="L98" s="126"/>
      <c r="M98" s="181">
        <f t="shared" si="11"/>
        <v>0</v>
      </c>
      <c r="N98" s="182">
        <f>SUM(M97:M98)</f>
        <v>0</v>
      </c>
      <c r="O98" s="72"/>
      <c r="R98" s="75" t="s">
        <v>14</v>
      </c>
      <c r="S98" s="72"/>
      <c r="T98" s="72"/>
      <c r="U98" s="72"/>
      <c r="V98" s="106"/>
      <c r="W98" s="117"/>
      <c r="X98" s="106"/>
      <c r="Y98" s="72"/>
      <c r="Z98" s="153">
        <v>1</v>
      </c>
      <c r="AA98" s="91"/>
      <c r="AB98" s="91"/>
      <c r="AC98" s="72"/>
      <c r="AD98" s="72"/>
      <c r="AE98" s="72"/>
      <c r="AF98" s="72"/>
      <c r="AG98" s="72"/>
      <c r="AH98" s="72"/>
      <c r="AI98" s="72"/>
    </row>
    <row r="99" spans="1:35" ht="13" hidden="1">
      <c r="A99" s="72"/>
      <c r="B99" s="72"/>
      <c r="C99" s="105" t="s">
        <v>27</v>
      </c>
      <c r="E99" s="72"/>
      <c r="F99" s="106">
        <f>SUM(F95:F98)</f>
        <v>0</v>
      </c>
      <c r="G99" s="3">
        <f t="shared" ref="G99:H99" si="12">SUM(G95:G98)</f>
        <v>0</v>
      </c>
      <c r="H99" s="106">
        <f t="shared" si="12"/>
        <v>0</v>
      </c>
      <c r="I99" s="72"/>
      <c r="J99" s="72"/>
      <c r="K99" s="106">
        <f>SUM(K95:K98)</f>
        <v>0</v>
      </c>
      <c r="L99" s="72"/>
      <c r="M99" s="106">
        <f>SUM(M95:M98)</f>
        <v>0</v>
      </c>
      <c r="N99" s="106">
        <f>SUM(N95:N98)</f>
        <v>0</v>
      </c>
      <c r="O99" s="72"/>
      <c r="P99" s="6">
        <f>SUM(P95:P97)</f>
        <v>0</v>
      </c>
      <c r="Q99" s="4"/>
      <c r="R99" s="72"/>
      <c r="S99" s="72"/>
      <c r="T99" s="72"/>
      <c r="U99" s="72"/>
      <c r="V99" s="106"/>
      <c r="W99" s="117"/>
      <c r="X99" s="106"/>
      <c r="Y99" s="72"/>
      <c r="AA99" s="91"/>
      <c r="AB99" s="91"/>
      <c r="AC99" s="72"/>
      <c r="AD99" s="72"/>
      <c r="AE99" s="72"/>
      <c r="AF99" s="72"/>
      <c r="AG99" s="72"/>
      <c r="AH99" s="72"/>
      <c r="AI99" s="72"/>
    </row>
    <row r="100" spans="1:35" ht="13" hidden="1">
      <c r="A100" s="72"/>
      <c r="B100" s="72"/>
      <c r="C100" s="72"/>
      <c r="D100" s="72"/>
      <c r="E100" s="72"/>
      <c r="F100" s="72"/>
      <c r="G100" s="72"/>
      <c r="H100" s="72"/>
      <c r="I100" s="72"/>
      <c r="J100" s="72"/>
      <c r="K100" s="106"/>
      <c r="L100" s="72"/>
      <c r="M100" s="106"/>
      <c r="N100" s="106"/>
      <c r="O100" s="72"/>
      <c r="P100" s="106"/>
      <c r="Q100" s="106"/>
      <c r="R100" s="72"/>
      <c r="S100" s="72"/>
      <c r="T100" s="72"/>
      <c r="U100" s="72"/>
      <c r="V100" s="106"/>
      <c r="W100" s="117"/>
      <c r="X100" s="106"/>
      <c r="Y100" s="72"/>
      <c r="AA100" s="91"/>
      <c r="AB100" s="91"/>
      <c r="AC100" s="72"/>
      <c r="AD100" s="72"/>
      <c r="AE100" s="72"/>
      <c r="AF100" s="72"/>
      <c r="AG100" s="72"/>
      <c r="AH100" s="72"/>
      <c r="AI100" s="72"/>
    </row>
    <row r="101" spans="1:35" ht="13">
      <c r="A101" s="72"/>
      <c r="B101" s="72"/>
      <c r="C101" s="74" t="s">
        <v>54</v>
      </c>
      <c r="D101" s="72"/>
      <c r="E101" s="72"/>
      <c r="F101" s="72"/>
      <c r="G101" s="72"/>
      <c r="H101" s="72"/>
      <c r="I101" s="72"/>
      <c r="J101" s="72"/>
      <c r="K101" s="72"/>
      <c r="L101" s="72"/>
      <c r="M101" s="72"/>
      <c r="N101" s="106"/>
      <c r="O101" s="72"/>
      <c r="P101" s="106"/>
      <c r="Q101" s="106"/>
      <c r="R101" s="72"/>
      <c r="S101" s="72"/>
      <c r="T101" s="72"/>
      <c r="U101" s="72"/>
      <c r="V101" s="106"/>
      <c r="W101" s="117"/>
      <c r="X101" s="106"/>
      <c r="Y101" s="72"/>
      <c r="AA101" s="91"/>
      <c r="AB101" s="91"/>
      <c r="AC101" s="72"/>
      <c r="AD101" s="72"/>
      <c r="AE101" s="72"/>
      <c r="AF101" s="72"/>
      <c r="AG101" s="72"/>
      <c r="AH101" s="72"/>
      <c r="AI101" s="72"/>
    </row>
    <row r="102" spans="1:35" ht="13">
      <c r="A102" s="72"/>
      <c r="B102" s="72"/>
      <c r="C102" s="75"/>
      <c r="D102" s="72"/>
      <c r="E102" s="72"/>
      <c r="F102" s="72"/>
      <c r="G102" s="72"/>
      <c r="H102" s="72"/>
      <c r="I102" s="126" t="s">
        <v>281</v>
      </c>
      <c r="J102" s="126" t="s">
        <v>1</v>
      </c>
      <c r="K102" s="72"/>
      <c r="L102" s="72"/>
      <c r="M102" s="126" t="s">
        <v>283</v>
      </c>
      <c r="N102" s="106"/>
      <c r="O102" s="72"/>
      <c r="P102" s="72"/>
      <c r="Q102" s="72"/>
      <c r="R102" s="72"/>
      <c r="S102" s="72"/>
      <c r="T102" s="72"/>
      <c r="U102" s="72"/>
      <c r="V102" s="106"/>
      <c r="W102" s="117"/>
      <c r="X102" s="106"/>
      <c r="Y102" s="72"/>
      <c r="AA102" s="91"/>
      <c r="AB102" s="91"/>
      <c r="AC102" s="72"/>
      <c r="AD102" s="72"/>
      <c r="AE102" s="72"/>
      <c r="AF102" s="72"/>
      <c r="AG102" s="72"/>
      <c r="AH102" s="72"/>
      <c r="AI102" s="72"/>
    </row>
    <row r="103" spans="1:35" ht="13">
      <c r="A103" s="72"/>
      <c r="B103" s="72"/>
      <c r="C103" s="194" t="s">
        <v>278</v>
      </c>
      <c r="D103" s="194" t="s">
        <v>285</v>
      </c>
      <c r="E103" s="21"/>
      <c r="F103" s="74"/>
      <c r="G103" s="74" t="s">
        <v>16</v>
      </c>
      <c r="H103" s="126" t="s">
        <v>314</v>
      </c>
      <c r="I103" s="126" t="s">
        <v>47</v>
      </c>
      <c r="J103" s="126" t="s">
        <v>47</v>
      </c>
      <c r="K103" s="126" t="s">
        <v>282</v>
      </c>
      <c r="L103" s="72"/>
      <c r="M103" s="126" t="s">
        <v>284</v>
      </c>
      <c r="N103" s="106"/>
      <c r="O103" s="72"/>
      <c r="P103" s="72"/>
      <c r="Q103" s="72"/>
      <c r="R103" s="72"/>
      <c r="S103" s="72"/>
      <c r="T103" s="72"/>
      <c r="U103" s="72"/>
      <c r="V103" s="106"/>
      <c r="W103" s="117"/>
      <c r="X103" s="106"/>
      <c r="Y103" s="72"/>
      <c r="AA103" s="91"/>
      <c r="AB103" s="91"/>
      <c r="AC103" s="72"/>
      <c r="AD103" s="72"/>
      <c r="AE103" s="72"/>
      <c r="AF103" s="72"/>
      <c r="AG103" s="72"/>
      <c r="AH103" s="72"/>
      <c r="AI103" s="72"/>
    </row>
    <row r="104" spans="1:35" ht="13">
      <c r="A104" s="72"/>
      <c r="B104" s="72"/>
      <c r="C104" s="72"/>
      <c r="D104" s="72"/>
      <c r="F104" s="72"/>
      <c r="G104" s="72"/>
      <c r="H104" s="98"/>
      <c r="I104" s="72"/>
      <c r="J104" s="72"/>
      <c r="K104" s="72"/>
      <c r="L104" s="72"/>
      <c r="M104" s="72"/>
      <c r="N104" s="106"/>
      <c r="O104" s="72"/>
      <c r="P104" s="72"/>
      <c r="Q104" s="72"/>
      <c r="R104" s="72"/>
      <c r="S104" s="72"/>
      <c r="T104" s="72"/>
      <c r="U104" s="72"/>
      <c r="V104" s="106"/>
      <c r="W104" s="117"/>
      <c r="X104" s="106"/>
      <c r="Y104" s="72"/>
      <c r="AA104" s="91"/>
      <c r="AB104" s="91"/>
      <c r="AC104" s="72"/>
      <c r="AD104" s="72"/>
      <c r="AE104" s="72"/>
      <c r="AF104" s="72"/>
      <c r="AG104" s="72"/>
      <c r="AH104" s="72"/>
      <c r="AI104" s="72"/>
    </row>
    <row r="105" spans="1:35" ht="13">
      <c r="A105" s="72"/>
      <c r="B105" s="72"/>
      <c r="C105" s="75" t="s">
        <v>183</v>
      </c>
      <c r="D105" s="185" t="str">
        <f>+E95</f>
        <v>No</v>
      </c>
      <c r="E105" s="192" t="s">
        <v>288</v>
      </c>
      <c r="F105" s="193"/>
      <c r="G105" s="189">
        <f>IF($D105="yes",+F95,0)</f>
        <v>0</v>
      </c>
      <c r="H105" s="189">
        <f>IF($D105="yes",+G95,0)</f>
        <v>0</v>
      </c>
      <c r="I105" s="189">
        <f>IF($D105="yes",+H95,0)</f>
        <v>0</v>
      </c>
      <c r="J105" s="183"/>
      <c r="K105" s="104">
        <f>SUM(G105:I105)</f>
        <v>0</v>
      </c>
      <c r="L105" s="72"/>
      <c r="M105" s="104">
        <f>+K105</f>
        <v>0</v>
      </c>
      <c r="N105" s="186" t="s">
        <v>183</v>
      </c>
      <c r="O105" s="72"/>
      <c r="P105" s="72"/>
      <c r="Q105" s="72"/>
      <c r="R105" s="72"/>
      <c r="S105" s="72"/>
      <c r="T105" s="72"/>
      <c r="U105" s="72"/>
      <c r="V105" s="106"/>
      <c r="W105" s="117"/>
      <c r="X105" s="106"/>
      <c r="Y105" s="72"/>
      <c r="AA105" s="91"/>
      <c r="AB105" s="91"/>
      <c r="AC105" s="72"/>
      <c r="AD105" s="72"/>
      <c r="AE105" s="72"/>
      <c r="AF105" s="72"/>
      <c r="AG105" s="72"/>
      <c r="AH105" s="72"/>
      <c r="AI105" s="72"/>
    </row>
    <row r="106" spans="1:35" ht="13">
      <c r="A106" s="72"/>
      <c r="B106" s="72"/>
      <c r="C106" s="75" t="s">
        <v>1</v>
      </c>
      <c r="D106" s="185" t="str">
        <f>+E98</f>
        <v>No</v>
      </c>
      <c r="E106" s="190" t="s">
        <v>279</v>
      </c>
      <c r="F106" s="191"/>
      <c r="G106" s="188">
        <f>IF($D106="yes",+F97,0)</f>
        <v>0</v>
      </c>
      <c r="H106" s="188">
        <f>IF($D106="yes",+G97,0)</f>
        <v>0</v>
      </c>
      <c r="I106" s="183"/>
      <c r="J106" s="188">
        <f>IF($D106="yes",+K97,0)</f>
        <v>0</v>
      </c>
      <c r="K106" s="104">
        <f t="shared" ref="K106:K107" si="13">SUM(G106:I106)</f>
        <v>0</v>
      </c>
      <c r="L106" s="72"/>
      <c r="M106" s="72"/>
      <c r="N106" s="106"/>
      <c r="O106" s="72"/>
      <c r="P106" s="72"/>
      <c r="Q106" s="72"/>
      <c r="R106" s="72"/>
      <c r="S106" s="72"/>
      <c r="T106" s="72"/>
      <c r="U106" s="72"/>
      <c r="V106" s="106"/>
      <c r="W106" s="117"/>
      <c r="X106" s="106"/>
      <c r="Y106" s="72"/>
      <c r="AA106" s="91"/>
      <c r="AB106" s="91"/>
      <c r="AC106" s="72"/>
      <c r="AD106" s="72"/>
      <c r="AE106" s="72"/>
      <c r="AF106" s="72"/>
      <c r="AG106" s="72"/>
      <c r="AH106" s="72"/>
      <c r="AI106" s="72"/>
    </row>
    <row r="107" spans="1:35" ht="13">
      <c r="A107" s="72"/>
      <c r="B107" s="72"/>
      <c r="C107" s="72"/>
      <c r="D107" s="185" t="str">
        <f>+D106</f>
        <v>No</v>
      </c>
      <c r="E107" s="187" t="s">
        <v>280</v>
      </c>
      <c r="F107" s="183"/>
      <c r="G107" s="188">
        <f>IF($D107="yes",+F98,0)</f>
        <v>0</v>
      </c>
      <c r="H107" s="188">
        <f>IF($D107="yes",+G98,0)</f>
        <v>0</v>
      </c>
      <c r="I107" s="183"/>
      <c r="J107" s="188">
        <f>IF($D107="yes",+K98,0)</f>
        <v>0</v>
      </c>
      <c r="K107" s="104">
        <f t="shared" si="13"/>
        <v>0</v>
      </c>
      <c r="L107" s="72"/>
      <c r="M107" s="104">
        <f>+K106+K107</f>
        <v>0</v>
      </c>
      <c r="N107" s="186" t="s">
        <v>1</v>
      </c>
      <c r="O107" s="72"/>
      <c r="P107" s="72"/>
      <c r="Q107" s="72"/>
      <c r="R107" s="72"/>
      <c r="S107" s="72"/>
      <c r="T107" s="72"/>
      <c r="U107" s="72"/>
      <c r="V107" s="106"/>
      <c r="W107" s="117"/>
      <c r="X107" s="106"/>
      <c r="Y107" s="72"/>
      <c r="AA107" s="91"/>
      <c r="AB107" s="91"/>
      <c r="AC107" s="72"/>
      <c r="AD107" s="72"/>
      <c r="AE107" s="72"/>
      <c r="AF107" s="72"/>
      <c r="AG107" s="72"/>
      <c r="AH107" s="72"/>
      <c r="AI107" s="72"/>
    </row>
    <row r="108" spans="1:35" ht="13">
      <c r="A108" s="72"/>
      <c r="B108" s="72"/>
      <c r="C108" s="72"/>
      <c r="D108" s="72"/>
      <c r="E108" s="72"/>
      <c r="F108" s="75" t="s">
        <v>27</v>
      </c>
      <c r="G108" s="106">
        <f>SUM(G105:G107)</f>
        <v>0</v>
      </c>
      <c r="H108" s="3">
        <f t="shared" ref="H108:K108" si="14">SUM(H105:H107)</f>
        <v>0</v>
      </c>
      <c r="I108" s="106">
        <f t="shared" si="14"/>
        <v>0</v>
      </c>
      <c r="J108" s="106">
        <f t="shared" si="14"/>
        <v>0</v>
      </c>
      <c r="K108" s="106">
        <f t="shared" si="14"/>
        <v>0</v>
      </c>
      <c r="L108" s="72"/>
      <c r="M108" s="106">
        <f>SUM(M105:M107)</f>
        <v>0</v>
      </c>
      <c r="N108" s="106"/>
      <c r="O108" s="72"/>
      <c r="P108" s="72"/>
      <c r="Q108" s="72"/>
      <c r="R108" s="72"/>
      <c r="S108" s="72"/>
      <c r="T108" s="72"/>
      <c r="U108" s="72"/>
      <c r="V108" s="106"/>
      <c r="W108" s="117"/>
      <c r="X108" s="106"/>
      <c r="Y108" s="72"/>
      <c r="AA108" s="91"/>
      <c r="AB108" s="91"/>
      <c r="AC108" s="72"/>
      <c r="AD108" s="72"/>
      <c r="AE108" s="72"/>
      <c r="AF108" s="72"/>
      <c r="AG108" s="72"/>
      <c r="AH108" s="72"/>
      <c r="AI108" s="72"/>
    </row>
    <row r="109" spans="1:35" ht="13">
      <c r="A109" s="72"/>
      <c r="B109" s="72"/>
      <c r="C109" s="72"/>
      <c r="D109" s="72"/>
      <c r="E109" s="72"/>
      <c r="F109" s="75"/>
      <c r="G109" s="106"/>
      <c r="H109" s="106"/>
      <c r="I109" s="106"/>
      <c r="J109" s="106"/>
      <c r="K109" s="106"/>
      <c r="L109" s="72"/>
      <c r="M109" s="106"/>
      <c r="N109" s="106"/>
      <c r="O109" s="72"/>
      <c r="P109" s="72"/>
      <c r="Q109" s="72"/>
      <c r="R109" s="72"/>
      <c r="S109" s="72"/>
      <c r="T109" s="72"/>
      <c r="U109" s="72"/>
      <c r="V109" s="106"/>
      <c r="W109" s="117"/>
      <c r="X109" s="106"/>
      <c r="Y109" s="72"/>
      <c r="AA109" s="91"/>
      <c r="AB109" s="91"/>
      <c r="AC109" s="72"/>
      <c r="AD109" s="72"/>
      <c r="AE109" s="72"/>
      <c r="AF109" s="72"/>
      <c r="AG109" s="72"/>
      <c r="AH109" s="72"/>
      <c r="AI109" s="72"/>
    </row>
    <row r="110" spans="1:35" ht="13">
      <c r="A110" s="72"/>
      <c r="B110" s="72"/>
      <c r="C110" s="72"/>
      <c r="D110" s="72"/>
      <c r="E110" s="72"/>
      <c r="F110" s="75"/>
      <c r="G110" s="106"/>
      <c r="H110" s="106"/>
      <c r="I110" s="106"/>
      <c r="J110" s="186"/>
      <c r="K110" s="106"/>
      <c r="L110" s="72"/>
      <c r="M110" s="106"/>
      <c r="N110" s="106"/>
      <c r="O110" s="115"/>
      <c r="P110" s="135"/>
      <c r="Q110" s="135"/>
      <c r="R110" s="72"/>
      <c r="S110" s="72"/>
      <c r="T110" s="72"/>
      <c r="U110" s="72"/>
      <c r="V110" s="106"/>
      <c r="W110" s="117"/>
      <c r="X110" s="106"/>
      <c r="Y110" s="72"/>
      <c r="AA110" s="91"/>
      <c r="AB110" s="91"/>
      <c r="AC110" s="72"/>
      <c r="AD110" s="72"/>
      <c r="AE110" s="72"/>
      <c r="AF110" s="72"/>
      <c r="AG110" s="72"/>
      <c r="AH110" s="72"/>
      <c r="AI110" s="72"/>
    </row>
    <row r="111" spans="1:35" ht="13">
      <c r="A111" s="72"/>
      <c r="B111" s="72"/>
      <c r="C111" s="194" t="s">
        <v>278</v>
      </c>
      <c r="D111" s="137" t="s">
        <v>286</v>
      </c>
      <c r="E111" s="72"/>
      <c r="F111" s="75"/>
      <c r="G111" s="106"/>
      <c r="H111" s="199" t="s">
        <v>289</v>
      </c>
      <c r="I111" s="197" t="s">
        <v>42</v>
      </c>
      <c r="J111" s="197" t="s">
        <v>291</v>
      </c>
      <c r="K111" s="197" t="s">
        <v>27</v>
      </c>
      <c r="L111" s="72"/>
      <c r="M111" s="106"/>
      <c r="N111" s="106"/>
      <c r="O111" s="115"/>
      <c r="P111" s="135"/>
      <c r="Q111" s="135"/>
      <c r="R111" s="72"/>
      <c r="S111" s="72"/>
      <c r="T111" s="72"/>
      <c r="U111" s="72"/>
      <c r="V111" s="106"/>
      <c r="W111" s="117"/>
      <c r="X111" s="106"/>
      <c r="Y111" s="72"/>
      <c r="AA111" s="91"/>
      <c r="AB111" s="91"/>
      <c r="AC111" s="72"/>
      <c r="AD111" s="72"/>
      <c r="AE111" s="72"/>
      <c r="AF111" s="72"/>
      <c r="AG111" s="72"/>
      <c r="AH111" s="72"/>
      <c r="AI111" s="72"/>
    </row>
    <row r="112" spans="1:35" ht="13">
      <c r="A112" s="72"/>
      <c r="B112" s="72"/>
      <c r="C112" s="194"/>
      <c r="D112" s="137"/>
      <c r="E112" s="72"/>
      <c r="F112" s="75"/>
      <c r="G112" s="106"/>
      <c r="H112" s="199" t="s">
        <v>290</v>
      </c>
      <c r="I112" s="197" t="s">
        <v>14</v>
      </c>
      <c r="J112" s="197" t="s">
        <v>292</v>
      </c>
      <c r="K112" s="197" t="s">
        <v>42</v>
      </c>
      <c r="L112" s="72"/>
      <c r="M112" s="207"/>
      <c r="N112" s="106"/>
      <c r="O112" s="115"/>
      <c r="P112" s="135"/>
      <c r="Q112" s="135"/>
      <c r="R112" s="72"/>
      <c r="S112" s="72"/>
      <c r="T112" s="72"/>
      <c r="U112" s="72"/>
      <c r="V112" s="106"/>
      <c r="W112" s="117"/>
      <c r="X112" s="106"/>
      <c r="Y112" s="72"/>
      <c r="AA112" s="91"/>
      <c r="AB112" s="91"/>
      <c r="AC112" s="72"/>
      <c r="AD112" s="72"/>
      <c r="AE112" s="72"/>
      <c r="AF112" s="72"/>
      <c r="AG112" s="72"/>
      <c r="AH112" s="72"/>
      <c r="AI112" s="72"/>
    </row>
    <row r="113" spans="1:35" ht="13">
      <c r="A113" s="165"/>
      <c r="B113" s="72"/>
      <c r="C113" s="72"/>
      <c r="D113" s="185" t="str">
        <f>IF(D105="No","Yes","No")</f>
        <v>Yes</v>
      </c>
      <c r="E113" s="195" t="s">
        <v>288</v>
      </c>
      <c r="F113" s="193"/>
      <c r="G113" s="109">
        <f>IF(D105="No",+P95," ")</f>
        <v>0</v>
      </c>
      <c r="H113" s="196">
        <v>50</v>
      </c>
      <c r="I113" s="104">
        <f>IF(D113="yes",G113/100*H113," ")</f>
        <v>0</v>
      </c>
      <c r="J113" s="106"/>
      <c r="K113" s="106"/>
      <c r="L113" s="72"/>
      <c r="M113" s="106"/>
      <c r="N113" s="106"/>
      <c r="O113" s="115"/>
      <c r="P113" s="135"/>
      <c r="Q113" s="135"/>
      <c r="R113" s="72"/>
      <c r="S113" s="72"/>
      <c r="T113" s="72"/>
      <c r="U113" s="72"/>
      <c r="V113" s="106"/>
      <c r="W113" s="117"/>
      <c r="X113" s="106"/>
      <c r="Y113" s="72"/>
      <c r="AA113" s="91"/>
      <c r="AB113" s="91"/>
      <c r="AC113" s="72"/>
      <c r="AD113" s="72"/>
      <c r="AE113" s="72"/>
      <c r="AF113" s="72"/>
      <c r="AG113" s="72"/>
      <c r="AH113" s="72"/>
      <c r="AI113" s="72"/>
    </row>
    <row r="114" spans="1:35" ht="13">
      <c r="A114" s="165"/>
      <c r="B114" s="72"/>
      <c r="C114" s="72"/>
      <c r="D114" s="185" t="str">
        <f>IF(D106="No","Yes","No")</f>
        <v>Yes</v>
      </c>
      <c r="E114" s="195" t="s">
        <v>287</v>
      </c>
      <c r="F114" s="193"/>
      <c r="G114" s="109">
        <f>IF(D106="No",+P97," ")</f>
        <v>0</v>
      </c>
      <c r="H114" s="196">
        <v>50</v>
      </c>
      <c r="I114" s="104">
        <f>IF(D114="yes",G114/100*H114," ")</f>
        <v>0</v>
      </c>
      <c r="J114" s="72"/>
      <c r="K114" s="72"/>
      <c r="M114" s="106"/>
      <c r="N114" s="106"/>
      <c r="O114" s="72"/>
      <c r="P114" s="72"/>
      <c r="Q114" s="72"/>
      <c r="R114" s="72"/>
      <c r="S114" s="72"/>
      <c r="T114" s="72"/>
      <c r="U114" s="72"/>
      <c r="V114" s="106"/>
      <c r="W114" s="117"/>
      <c r="X114" s="106"/>
      <c r="Y114" s="72"/>
      <c r="AA114" s="91"/>
      <c r="AB114" s="91"/>
      <c r="AC114" s="72"/>
      <c r="AD114" s="72"/>
      <c r="AE114" s="72"/>
      <c r="AF114" s="72"/>
      <c r="AG114" s="72"/>
      <c r="AH114" s="72"/>
      <c r="AI114" s="72"/>
    </row>
    <row r="115" spans="1:35" ht="13">
      <c r="A115" s="72"/>
      <c r="B115" s="72"/>
      <c r="C115" s="72"/>
      <c r="D115" s="72"/>
      <c r="E115" s="72"/>
      <c r="F115" s="72"/>
      <c r="G115" s="106">
        <f>SUM(G113:G114)</f>
        <v>0</v>
      </c>
      <c r="H115" s="98"/>
      <c r="I115" s="102">
        <f>SUM(I113:I114)</f>
        <v>0</v>
      </c>
      <c r="J115" s="72">
        <f>+H108</f>
        <v>0</v>
      </c>
      <c r="K115" s="198">
        <f>SUM(I115:J115)</f>
        <v>0</v>
      </c>
      <c r="L115" s="72"/>
      <c r="M115" s="72"/>
      <c r="N115" s="106"/>
      <c r="O115" s="72"/>
      <c r="P115" s="72"/>
      <c r="Q115" s="72"/>
      <c r="R115" s="72"/>
      <c r="S115" s="72"/>
      <c r="T115" s="72"/>
      <c r="U115" s="72"/>
      <c r="V115" s="106"/>
      <c r="W115" s="117"/>
      <c r="X115" s="106"/>
      <c r="Y115" s="72"/>
      <c r="AA115" s="91"/>
      <c r="AB115" s="91"/>
      <c r="AC115" s="72"/>
      <c r="AD115" s="72"/>
      <c r="AE115" s="72"/>
      <c r="AF115" s="72"/>
      <c r="AG115" s="72"/>
      <c r="AH115" s="72"/>
      <c r="AI115" s="72"/>
    </row>
    <row r="116" spans="1:35" ht="13">
      <c r="A116" s="72"/>
      <c r="B116" s="72"/>
      <c r="C116" s="72"/>
      <c r="D116" s="72"/>
      <c r="E116" s="72"/>
      <c r="F116" s="72"/>
      <c r="G116" s="72"/>
      <c r="H116" s="72"/>
      <c r="I116" s="72"/>
      <c r="J116" s="72"/>
      <c r="K116" s="72"/>
      <c r="L116" s="72"/>
      <c r="M116" s="105"/>
      <c r="N116" s="106"/>
      <c r="O116" s="72"/>
      <c r="P116" s="72"/>
      <c r="Q116" s="72"/>
      <c r="R116" s="72"/>
      <c r="S116" s="72"/>
      <c r="T116" s="72"/>
      <c r="U116" s="72"/>
      <c r="V116" s="106"/>
      <c r="W116" s="117"/>
      <c r="X116" s="106"/>
      <c r="Y116" s="72"/>
      <c r="AA116" s="91"/>
      <c r="AB116" s="91"/>
      <c r="AC116" s="72"/>
      <c r="AD116" s="72"/>
      <c r="AE116" s="72"/>
      <c r="AF116" s="72"/>
      <c r="AG116" s="72"/>
      <c r="AH116" s="72"/>
      <c r="AI116" s="72"/>
    </row>
    <row r="117" spans="1:35" ht="17" customHeight="1">
      <c r="A117" s="72"/>
      <c r="B117" s="72"/>
      <c r="C117" s="74" t="s">
        <v>56</v>
      </c>
      <c r="D117" s="72"/>
      <c r="E117" s="72"/>
      <c r="F117" s="72"/>
      <c r="G117" s="72"/>
      <c r="H117" s="72"/>
      <c r="I117" s="72"/>
      <c r="J117" s="72"/>
      <c r="K117" s="74" t="s">
        <v>57</v>
      </c>
      <c r="L117" s="72"/>
      <c r="M117" s="105"/>
      <c r="N117" s="135"/>
      <c r="O117" s="72"/>
      <c r="P117" s="72"/>
      <c r="Q117" s="72"/>
      <c r="R117" s="72"/>
      <c r="S117" s="72"/>
      <c r="T117" s="72"/>
      <c r="U117" s="72"/>
      <c r="V117" s="106"/>
      <c r="W117" s="117"/>
      <c r="X117" s="106"/>
      <c r="Y117" s="72"/>
      <c r="Z117" s="155" t="s">
        <v>246</v>
      </c>
      <c r="AA117" s="91"/>
      <c r="AB117" s="91"/>
      <c r="AC117" s="72"/>
      <c r="AD117" s="72"/>
      <c r="AE117" s="72"/>
      <c r="AF117" s="72"/>
      <c r="AG117" s="72"/>
      <c r="AH117" s="72"/>
      <c r="AI117" s="72"/>
    </row>
    <row r="118" spans="1:35" ht="17" customHeight="1">
      <c r="A118" s="72"/>
      <c r="C118" s="74"/>
      <c r="D118" s="72"/>
      <c r="E118" s="72"/>
      <c r="F118" s="72"/>
      <c r="G118" s="72"/>
      <c r="H118" s="72"/>
      <c r="I118" s="72"/>
      <c r="J118" s="72"/>
      <c r="K118" s="74"/>
      <c r="L118" s="72"/>
      <c r="M118" s="105"/>
      <c r="N118" s="135"/>
      <c r="O118" s="72"/>
      <c r="P118" s="72"/>
      <c r="Q118" s="72"/>
      <c r="R118" s="72"/>
      <c r="S118" s="72"/>
      <c r="T118" s="72"/>
      <c r="U118" s="72"/>
      <c r="V118" s="106"/>
      <c r="W118" s="117"/>
      <c r="X118" s="106"/>
      <c r="Y118" s="72"/>
      <c r="Z118" s="96">
        <v>1</v>
      </c>
      <c r="AA118" s="91"/>
      <c r="AB118" s="91"/>
      <c r="AC118" s="72"/>
      <c r="AD118" s="72"/>
      <c r="AE118" s="72"/>
      <c r="AF118" s="72"/>
      <c r="AG118" s="72"/>
      <c r="AH118" s="72"/>
      <c r="AI118" s="72"/>
    </row>
    <row r="119" spans="1:35" ht="15" customHeight="1">
      <c r="A119" s="72"/>
      <c r="B119" s="72"/>
      <c r="C119" s="105" t="s">
        <v>55</v>
      </c>
      <c r="D119" s="72"/>
      <c r="E119" s="72"/>
      <c r="F119" s="72"/>
      <c r="G119" s="72"/>
      <c r="H119" s="72"/>
      <c r="I119" s="72"/>
      <c r="J119" s="72"/>
      <c r="K119" s="25">
        <f>IF($Z$118=1,+K$115,0)</f>
        <v>0</v>
      </c>
      <c r="L119" s="72"/>
      <c r="M119" s="105"/>
      <c r="N119" s="106"/>
      <c r="O119" s="72"/>
      <c r="P119" s="72"/>
      <c r="Q119" s="72"/>
      <c r="R119" s="72"/>
      <c r="S119" s="72"/>
      <c r="T119" s="72"/>
      <c r="U119" s="72"/>
      <c r="V119" s="106"/>
      <c r="W119" s="117"/>
      <c r="X119" s="106"/>
      <c r="Y119" s="72"/>
      <c r="AA119" s="91"/>
      <c r="AB119" s="91"/>
      <c r="AC119" s="72"/>
      <c r="AD119" s="72"/>
      <c r="AE119" s="72"/>
      <c r="AF119" s="72"/>
      <c r="AG119" s="72"/>
      <c r="AH119" s="72"/>
      <c r="AI119" s="72"/>
    </row>
    <row r="120" spans="1:35" ht="15" customHeight="1">
      <c r="A120" s="72"/>
      <c r="B120" s="105"/>
      <c r="C120" s="75" t="s">
        <v>195</v>
      </c>
      <c r="D120" s="72"/>
      <c r="E120" s="72"/>
      <c r="F120" s="72"/>
      <c r="G120" s="72"/>
      <c r="H120" s="72"/>
      <c r="I120" s="72"/>
      <c r="J120" s="72"/>
      <c r="K120" s="25">
        <f>IF($Z$118=2,+K$115,0)</f>
        <v>0</v>
      </c>
      <c r="L120" s="72"/>
      <c r="M120" s="105"/>
      <c r="N120" s="106"/>
      <c r="O120" s="72"/>
      <c r="P120" s="72"/>
      <c r="Q120" s="72"/>
      <c r="R120" s="72"/>
      <c r="S120" s="72"/>
      <c r="T120" s="72"/>
      <c r="U120" s="72"/>
      <c r="V120" s="106"/>
      <c r="W120" s="117"/>
      <c r="X120" s="106"/>
      <c r="Y120" s="72"/>
      <c r="AA120" s="91"/>
      <c r="AB120" s="91"/>
      <c r="AC120" s="72"/>
      <c r="AD120" s="72"/>
      <c r="AE120" s="72"/>
      <c r="AF120" s="72"/>
      <c r="AG120" s="72"/>
      <c r="AH120" s="72"/>
      <c r="AI120" s="72"/>
    </row>
    <row r="121" spans="1:35" ht="15" customHeight="1">
      <c r="A121" s="72"/>
      <c r="B121" s="105"/>
      <c r="C121" s="75" t="s">
        <v>236</v>
      </c>
      <c r="D121" s="72"/>
      <c r="E121" s="72"/>
      <c r="F121" s="72"/>
      <c r="G121" s="72"/>
      <c r="H121" s="72"/>
      <c r="I121" s="72"/>
      <c r="J121" s="72"/>
      <c r="K121" s="25">
        <f>IF($Z$118=3,+K115,0)</f>
        <v>0</v>
      </c>
      <c r="L121" s="72"/>
      <c r="M121" s="105"/>
      <c r="N121" s="106"/>
      <c r="O121" s="72"/>
      <c r="P121" s="72"/>
      <c r="Q121" s="72"/>
      <c r="R121" s="72"/>
      <c r="S121" s="72"/>
      <c r="T121" s="72"/>
      <c r="U121" s="72"/>
      <c r="V121" s="106"/>
      <c r="W121" s="117"/>
      <c r="X121" s="106"/>
      <c r="Y121" s="72"/>
      <c r="AA121" s="91"/>
      <c r="AB121" s="91"/>
      <c r="AC121" s="72"/>
      <c r="AD121" s="72"/>
      <c r="AE121" s="72"/>
      <c r="AF121" s="72"/>
      <c r="AG121" s="72"/>
      <c r="AH121" s="72"/>
      <c r="AI121" s="72"/>
    </row>
    <row r="122" spans="1:35" ht="13">
      <c r="A122" s="72"/>
      <c r="B122" s="72"/>
      <c r="C122" s="72"/>
      <c r="D122" s="72"/>
      <c r="E122" s="72"/>
      <c r="F122" s="72"/>
      <c r="G122" s="72"/>
      <c r="I122" s="72"/>
      <c r="J122" s="72"/>
      <c r="K122" s="106">
        <f>SUM(K119:K121)</f>
        <v>0</v>
      </c>
      <c r="L122" s="72"/>
      <c r="M122" s="105"/>
      <c r="N122" s="106"/>
      <c r="O122" s="72"/>
      <c r="P122" s="72"/>
      <c r="Q122" s="72"/>
      <c r="R122" s="72"/>
      <c r="S122" s="72"/>
      <c r="T122" s="72"/>
      <c r="U122" s="72"/>
      <c r="V122" s="106"/>
      <c r="W122" s="117"/>
      <c r="X122" s="106"/>
      <c r="Y122" s="72"/>
      <c r="AA122" s="91"/>
      <c r="AB122" s="91"/>
      <c r="AC122" s="72"/>
      <c r="AD122" s="72"/>
      <c r="AE122" s="72"/>
      <c r="AF122" s="72"/>
      <c r="AG122" s="72"/>
      <c r="AH122" s="72"/>
      <c r="AI122" s="72"/>
    </row>
    <row r="123" spans="1:35" ht="13">
      <c r="A123" s="72"/>
      <c r="B123" s="72"/>
      <c r="C123" s="72"/>
      <c r="D123" s="72"/>
      <c r="E123" s="72"/>
      <c r="F123" s="72"/>
      <c r="G123" s="72"/>
      <c r="H123" s="72"/>
      <c r="I123" s="72"/>
      <c r="J123" s="72"/>
      <c r="K123" s="72"/>
      <c r="L123" s="72"/>
      <c r="M123" s="105"/>
      <c r="N123" s="106"/>
      <c r="O123" s="72"/>
      <c r="P123" s="72"/>
      <c r="Q123" s="72"/>
      <c r="R123" s="72"/>
      <c r="S123" s="72"/>
      <c r="T123" s="72"/>
      <c r="U123" s="72"/>
      <c r="V123" s="106"/>
      <c r="W123" s="117"/>
      <c r="X123" s="106"/>
      <c r="Y123" s="72"/>
      <c r="AA123" s="91"/>
      <c r="AB123" s="91"/>
      <c r="AC123" s="72"/>
      <c r="AD123" s="72"/>
      <c r="AE123" s="72"/>
      <c r="AF123" s="72"/>
      <c r="AG123" s="72"/>
      <c r="AH123" s="72"/>
      <c r="AI123" s="72"/>
    </row>
    <row r="124" spans="1:35" ht="13">
      <c r="A124" s="72"/>
      <c r="B124" s="126" t="s">
        <v>349</v>
      </c>
      <c r="C124" s="74" t="s">
        <v>61</v>
      </c>
      <c r="D124" s="72"/>
      <c r="E124" s="72"/>
      <c r="F124" s="126" t="s">
        <v>14</v>
      </c>
      <c r="G124" s="74" t="s">
        <v>64</v>
      </c>
      <c r="H124" s="126" t="s">
        <v>65</v>
      </c>
      <c r="I124" s="74"/>
      <c r="J124" s="74"/>
      <c r="K124" s="126" t="s">
        <v>66</v>
      </c>
      <c r="L124" s="74"/>
      <c r="M124" s="74" t="s">
        <v>260</v>
      </c>
      <c r="N124" s="128" t="s">
        <v>67</v>
      </c>
      <c r="O124" s="72"/>
      <c r="P124" s="72"/>
      <c r="Q124" s="72"/>
      <c r="R124" s="72"/>
      <c r="S124" s="72"/>
      <c r="T124" s="72"/>
      <c r="U124" s="72"/>
      <c r="V124" s="106"/>
      <c r="W124" s="117"/>
      <c r="X124" s="106"/>
      <c r="Y124" s="72"/>
      <c r="AA124" s="91"/>
      <c r="AB124" s="91"/>
      <c r="AC124" s="72"/>
      <c r="AD124" s="72"/>
      <c r="AE124" s="72"/>
      <c r="AF124" s="72"/>
      <c r="AG124" s="72"/>
      <c r="AH124" s="72"/>
      <c r="AI124" s="72"/>
    </row>
    <row r="125" spans="1:35" ht="13">
      <c r="A125" s="165"/>
      <c r="B125" s="72"/>
      <c r="C125" s="105" t="s">
        <v>16</v>
      </c>
      <c r="D125" s="72"/>
      <c r="E125" s="72"/>
      <c r="F125" s="6">
        <f>+G108</f>
        <v>0</v>
      </c>
      <c r="G125" s="16">
        <v>15</v>
      </c>
      <c r="H125" s="6">
        <f>SUM(F125*G125)</f>
        <v>0</v>
      </c>
      <c r="I125" s="72"/>
      <c r="J125" s="72"/>
      <c r="K125" s="26">
        <f>SUM(H125/60)</f>
        <v>0</v>
      </c>
      <c r="M125" s="30">
        <f>+N36</f>
        <v>50</v>
      </c>
      <c r="N125" s="6">
        <f>SUM(K125*M125)</f>
        <v>0</v>
      </c>
      <c r="O125" s="101" t="str">
        <f t="shared" ref="O125:O131" si="15">+$H$18</f>
        <v>EUR</v>
      </c>
      <c r="P125" s="72"/>
      <c r="Q125" s="72"/>
      <c r="R125" s="72"/>
      <c r="S125" s="72"/>
      <c r="T125" s="72"/>
      <c r="U125" s="72"/>
      <c r="V125" s="106"/>
      <c r="W125" s="117"/>
      <c r="X125" s="106"/>
      <c r="Y125" s="72"/>
      <c r="AA125" s="91"/>
      <c r="AB125" s="91"/>
      <c r="AC125" s="72"/>
      <c r="AD125" s="72"/>
      <c r="AE125" s="72"/>
      <c r="AF125" s="72"/>
      <c r="AG125" s="72"/>
      <c r="AH125" s="72"/>
      <c r="AI125" s="72"/>
    </row>
    <row r="126" spans="1:35" ht="13">
      <c r="A126" s="72"/>
      <c r="B126" s="72"/>
      <c r="C126" s="75" t="s">
        <v>315</v>
      </c>
      <c r="D126" s="72"/>
      <c r="E126" s="72"/>
      <c r="F126" s="6">
        <f>+K119</f>
        <v>0</v>
      </c>
      <c r="G126" s="16">
        <v>20</v>
      </c>
      <c r="H126" s="6">
        <f t="shared" ref="H126:H130" si="16">SUM(F126*G126)</f>
        <v>0</v>
      </c>
      <c r="I126" s="72"/>
      <c r="J126" s="72"/>
      <c r="K126" s="26">
        <f t="shared" ref="K126:K130" si="17">SUM(H126/60)</f>
        <v>0</v>
      </c>
      <c r="M126" s="30">
        <f>+M125</f>
        <v>50</v>
      </c>
      <c r="N126" s="6">
        <f t="shared" ref="N126:N130" si="18">SUM(K126*M126)</f>
        <v>0</v>
      </c>
      <c r="O126" s="101" t="str">
        <f t="shared" si="15"/>
        <v>EUR</v>
      </c>
      <c r="P126" s="72"/>
      <c r="Q126" s="72"/>
      <c r="R126" s="72"/>
      <c r="S126" s="72"/>
      <c r="T126" s="72"/>
      <c r="U126" s="72"/>
      <c r="V126" s="72"/>
      <c r="W126" s="72"/>
      <c r="X126" s="72"/>
      <c r="Y126" s="72"/>
      <c r="AA126" s="91"/>
      <c r="AB126" s="91"/>
      <c r="AC126" s="72"/>
      <c r="AD126" s="72"/>
      <c r="AE126" s="72"/>
      <c r="AF126" s="72"/>
      <c r="AG126" s="72"/>
      <c r="AH126" s="72"/>
      <c r="AI126" s="72"/>
    </row>
    <row r="127" spans="1:35" ht="13">
      <c r="A127" s="72"/>
      <c r="B127" s="72"/>
      <c r="C127" s="75" t="s">
        <v>316</v>
      </c>
      <c r="D127" s="72"/>
      <c r="E127" s="72"/>
      <c r="F127" s="6">
        <f>+K120</f>
        <v>0</v>
      </c>
      <c r="G127" s="16">
        <v>15</v>
      </c>
      <c r="H127" s="6">
        <f t="shared" si="16"/>
        <v>0</v>
      </c>
      <c r="I127" s="72"/>
      <c r="J127" s="72"/>
      <c r="K127" s="26">
        <f t="shared" si="17"/>
        <v>0</v>
      </c>
      <c r="M127" s="30">
        <f t="shared" ref="M127:M130" si="19">+M126</f>
        <v>50</v>
      </c>
      <c r="N127" s="140">
        <f t="shared" si="18"/>
        <v>0</v>
      </c>
      <c r="O127" s="101" t="str">
        <f t="shared" si="15"/>
        <v>EUR</v>
      </c>
      <c r="P127" s="72"/>
      <c r="Q127" s="72"/>
      <c r="R127" s="72"/>
      <c r="S127" s="72"/>
      <c r="T127" s="72"/>
      <c r="U127" s="72"/>
      <c r="V127" s="72"/>
      <c r="W127" s="72"/>
      <c r="X127" s="72"/>
      <c r="Y127" s="72"/>
      <c r="AA127" s="91"/>
      <c r="AB127" s="91"/>
      <c r="AC127" s="72"/>
      <c r="AD127" s="72"/>
      <c r="AE127" s="72"/>
      <c r="AF127" s="72"/>
      <c r="AG127" s="72"/>
      <c r="AH127" s="72"/>
      <c r="AI127" s="72"/>
    </row>
    <row r="128" spans="1:35" ht="13">
      <c r="A128" s="72"/>
      <c r="B128" s="72"/>
      <c r="C128" s="214" t="s">
        <v>294</v>
      </c>
      <c r="D128" s="165"/>
      <c r="E128" s="72"/>
      <c r="F128" s="6">
        <f>+K121</f>
        <v>0</v>
      </c>
      <c r="G128" s="16">
        <v>12</v>
      </c>
      <c r="H128" s="6">
        <f t="shared" si="16"/>
        <v>0</v>
      </c>
      <c r="I128" s="72"/>
      <c r="J128" s="72"/>
      <c r="K128" s="26">
        <f t="shared" si="17"/>
        <v>0</v>
      </c>
      <c r="M128" s="30">
        <f t="shared" si="19"/>
        <v>50</v>
      </c>
      <c r="N128" s="140">
        <f t="shared" si="18"/>
        <v>0</v>
      </c>
      <c r="O128" s="101" t="str">
        <f t="shared" si="15"/>
        <v>EUR</v>
      </c>
      <c r="P128" s="72"/>
      <c r="Q128" s="72"/>
      <c r="R128" s="72"/>
      <c r="S128" s="72"/>
      <c r="T128" s="72"/>
      <c r="U128" s="72"/>
      <c r="V128" s="72"/>
      <c r="W128" s="72"/>
      <c r="X128" s="72"/>
      <c r="Y128" s="72"/>
      <c r="AA128" s="91"/>
      <c r="AB128" s="91"/>
      <c r="AC128" s="72"/>
      <c r="AD128" s="72"/>
      <c r="AE128" s="72"/>
      <c r="AF128" s="72"/>
      <c r="AG128" s="72"/>
      <c r="AH128" s="72"/>
      <c r="AI128" s="72"/>
    </row>
    <row r="129" spans="1:35" ht="13">
      <c r="A129" s="72"/>
      <c r="B129" s="72"/>
      <c r="C129" s="105" t="s">
        <v>44</v>
      </c>
      <c r="D129" s="72"/>
      <c r="E129" s="72"/>
      <c r="F129" s="6">
        <f>+I105</f>
        <v>0</v>
      </c>
      <c r="G129" s="16">
        <v>20</v>
      </c>
      <c r="H129" s="6">
        <f t="shared" si="16"/>
        <v>0</v>
      </c>
      <c r="I129" s="72"/>
      <c r="J129" s="72"/>
      <c r="K129" s="26">
        <f t="shared" si="17"/>
        <v>0</v>
      </c>
      <c r="M129" s="30">
        <f t="shared" si="19"/>
        <v>50</v>
      </c>
      <c r="N129" s="140">
        <f t="shared" si="18"/>
        <v>0</v>
      </c>
      <c r="O129" s="101" t="str">
        <f t="shared" si="15"/>
        <v>EUR</v>
      </c>
      <c r="P129" s="72"/>
      <c r="Q129" s="72"/>
      <c r="R129" s="72"/>
      <c r="S129" s="72"/>
      <c r="T129" s="72"/>
      <c r="U129" s="72"/>
      <c r="V129" s="72"/>
      <c r="W129" s="72"/>
      <c r="X129" s="72"/>
      <c r="Y129" s="72"/>
      <c r="AA129" s="91"/>
      <c r="AB129" s="91"/>
      <c r="AC129" s="72"/>
      <c r="AD129" s="72"/>
      <c r="AE129" s="72"/>
      <c r="AF129" s="72"/>
      <c r="AG129" s="72"/>
      <c r="AH129" s="72"/>
      <c r="AI129" s="72"/>
    </row>
    <row r="130" spans="1:35" ht="13">
      <c r="A130" s="72"/>
      <c r="B130" s="72"/>
      <c r="C130" s="105" t="s">
        <v>53</v>
      </c>
      <c r="D130" s="72"/>
      <c r="E130" s="72"/>
      <c r="F130" s="6">
        <f>+J108</f>
        <v>0</v>
      </c>
      <c r="G130" s="16">
        <v>20</v>
      </c>
      <c r="H130" s="6">
        <f t="shared" si="16"/>
        <v>0</v>
      </c>
      <c r="I130" s="72"/>
      <c r="J130" s="72"/>
      <c r="K130" s="26">
        <f t="shared" si="17"/>
        <v>0</v>
      </c>
      <c r="M130" s="30">
        <f t="shared" si="19"/>
        <v>50</v>
      </c>
      <c r="N130" s="140">
        <f t="shared" si="18"/>
        <v>0</v>
      </c>
      <c r="O130" s="101" t="str">
        <f t="shared" si="15"/>
        <v>EUR</v>
      </c>
      <c r="P130" s="72"/>
      <c r="Q130" s="72"/>
      <c r="R130" s="72"/>
      <c r="S130" s="72"/>
      <c r="T130" s="72"/>
      <c r="U130" s="72"/>
      <c r="V130" s="72"/>
      <c r="W130" s="72"/>
      <c r="X130" s="72"/>
      <c r="Y130" s="72"/>
      <c r="AA130" s="91"/>
      <c r="AB130" s="91"/>
      <c r="AC130" s="72"/>
      <c r="AD130" s="72"/>
      <c r="AE130" s="72"/>
      <c r="AF130" s="72"/>
      <c r="AG130" s="72"/>
      <c r="AH130" s="72"/>
      <c r="AI130" s="72"/>
    </row>
    <row r="131" spans="1:35" ht="13">
      <c r="A131" s="72"/>
      <c r="B131" s="72"/>
      <c r="C131" s="105" t="s">
        <v>27</v>
      </c>
      <c r="D131" s="72"/>
      <c r="E131" s="72"/>
      <c r="F131" s="106">
        <f>SUM(F125:F130)</f>
        <v>0</v>
      </c>
      <c r="G131" s="72"/>
      <c r="H131" s="106">
        <f>SUM(H125:H130)</f>
        <v>0</v>
      </c>
      <c r="I131" s="72"/>
      <c r="J131" s="72"/>
      <c r="K131" s="106">
        <f>SUM(K125:K130)</f>
        <v>0</v>
      </c>
      <c r="L131" s="72"/>
      <c r="M131" s="127"/>
      <c r="N131" s="106">
        <f>SUM(N125:N130)</f>
        <v>0</v>
      </c>
      <c r="O131" s="101" t="str">
        <f t="shared" si="15"/>
        <v>EUR</v>
      </c>
      <c r="P131" s="72"/>
      <c r="Q131" s="72"/>
      <c r="R131" s="72"/>
      <c r="S131" s="72"/>
      <c r="T131" s="72"/>
      <c r="U131" s="72"/>
      <c r="V131" s="72"/>
      <c r="W131" s="72"/>
      <c r="X131" s="72"/>
      <c r="Y131" s="72"/>
      <c r="AA131" s="91"/>
      <c r="AB131" s="91"/>
      <c r="AC131" s="72"/>
      <c r="AD131" s="72"/>
      <c r="AE131" s="72"/>
      <c r="AF131" s="72"/>
      <c r="AG131" s="72"/>
      <c r="AH131" s="72"/>
      <c r="AI131" s="72"/>
    </row>
    <row r="132" spans="1:35" ht="13">
      <c r="A132" s="72"/>
      <c r="B132" s="72"/>
      <c r="C132" s="72"/>
      <c r="D132" s="72"/>
      <c r="E132" s="72"/>
      <c r="F132" s="72"/>
      <c r="G132" s="72"/>
      <c r="H132" s="72"/>
      <c r="I132" s="72"/>
      <c r="J132" s="72"/>
      <c r="K132" s="72"/>
      <c r="L132" s="72"/>
      <c r="M132" s="72"/>
      <c r="N132" s="72"/>
      <c r="O132" s="105"/>
      <c r="P132" s="72"/>
      <c r="Q132" s="72"/>
      <c r="R132" s="72"/>
      <c r="S132" s="72"/>
      <c r="T132" s="72"/>
      <c r="U132" s="72"/>
      <c r="V132" s="72"/>
      <c r="W132" s="72"/>
      <c r="X132" s="72"/>
      <c r="Y132" s="72"/>
      <c r="AA132" s="91"/>
      <c r="AB132" s="91"/>
      <c r="AC132" s="72"/>
      <c r="AD132" s="72"/>
      <c r="AE132" s="72"/>
      <c r="AF132" s="72"/>
      <c r="AG132" s="72"/>
      <c r="AH132" s="72"/>
      <c r="AI132" s="72"/>
    </row>
    <row r="133" spans="1:35" ht="13">
      <c r="A133" s="72"/>
      <c r="C133" s="74" t="s">
        <v>344</v>
      </c>
      <c r="D133" s="72"/>
      <c r="E133" s="72"/>
      <c r="F133" s="126" t="s">
        <v>14</v>
      </c>
      <c r="G133" s="74" t="s">
        <v>71</v>
      </c>
      <c r="H133" s="74" t="s">
        <v>72</v>
      </c>
      <c r="I133" s="74"/>
      <c r="J133" s="74"/>
      <c r="K133" s="126" t="s">
        <v>66</v>
      </c>
      <c r="L133" s="74"/>
      <c r="M133" s="74" t="s">
        <v>260</v>
      </c>
      <c r="N133" s="128" t="s">
        <v>67</v>
      </c>
      <c r="O133" s="72"/>
      <c r="P133" s="72"/>
      <c r="Q133" s="72"/>
      <c r="R133" s="72"/>
      <c r="S133" s="72"/>
      <c r="T133" s="72"/>
      <c r="U133" s="72"/>
      <c r="V133" s="72"/>
      <c r="W133" s="72"/>
      <c r="X133" s="72"/>
      <c r="Y133" s="72"/>
      <c r="AA133" s="91"/>
      <c r="AB133" s="91"/>
      <c r="AC133" s="72"/>
      <c r="AD133" s="72"/>
      <c r="AE133" s="72"/>
      <c r="AF133" s="72"/>
      <c r="AG133" s="72"/>
      <c r="AH133" s="72"/>
      <c r="AI133" s="72"/>
    </row>
    <row r="134" spans="1:35" ht="13">
      <c r="A134" s="165"/>
      <c r="B134" s="72"/>
      <c r="C134" s="105" t="s">
        <v>16</v>
      </c>
      <c r="D134" s="72"/>
      <c r="E134" s="72"/>
      <c r="F134" s="6">
        <f t="shared" ref="F134:F139" si="20">+F125</f>
        <v>0</v>
      </c>
      <c r="G134" s="16">
        <v>8</v>
      </c>
      <c r="H134" s="6">
        <f>SUM(F134*G134)</f>
        <v>0</v>
      </c>
      <c r="I134" s="72"/>
      <c r="J134" s="72"/>
      <c r="K134" s="26">
        <f>SUM(H134/60)</f>
        <v>0</v>
      </c>
      <c r="M134" s="30">
        <f t="shared" ref="M134:M139" si="21">+M125</f>
        <v>50</v>
      </c>
      <c r="N134" s="140">
        <f>SUM(K134*M134)</f>
        <v>0</v>
      </c>
      <c r="O134" s="101" t="str">
        <f t="shared" ref="O134:O140" si="22">+$H$18</f>
        <v>EUR</v>
      </c>
      <c r="P134" s="72"/>
      <c r="Q134" s="72"/>
      <c r="R134" s="72"/>
      <c r="S134" s="72"/>
      <c r="T134" s="72"/>
      <c r="U134" s="72"/>
      <c r="V134" s="72"/>
      <c r="W134" s="72"/>
      <c r="X134" s="72"/>
      <c r="Y134" s="72"/>
      <c r="AA134" s="91"/>
      <c r="AB134" s="91"/>
      <c r="AC134" s="72"/>
      <c r="AD134" s="72"/>
      <c r="AE134" s="72"/>
      <c r="AF134" s="72"/>
      <c r="AG134" s="72"/>
      <c r="AH134" s="72"/>
      <c r="AI134" s="72"/>
    </row>
    <row r="135" spans="1:35" ht="13">
      <c r="A135" s="72"/>
      <c r="B135" s="72"/>
      <c r="C135" s="105" t="s">
        <v>62</v>
      </c>
      <c r="D135" s="72"/>
      <c r="E135" s="72"/>
      <c r="F135" s="6">
        <f t="shared" si="20"/>
        <v>0</v>
      </c>
      <c r="G135" s="16">
        <v>13</v>
      </c>
      <c r="H135" s="6">
        <f t="shared" ref="H135:H139" si="23">SUM(F135*G135)</f>
        <v>0</v>
      </c>
      <c r="I135" s="72"/>
      <c r="J135" s="72"/>
      <c r="K135" s="26">
        <f t="shared" ref="K135:K139" si="24">SUM(H135/60)</f>
        <v>0</v>
      </c>
      <c r="M135" s="30">
        <f t="shared" si="21"/>
        <v>50</v>
      </c>
      <c r="N135" s="140">
        <f t="shared" ref="N135:N139" si="25">SUM(K135*M135)</f>
        <v>0</v>
      </c>
      <c r="O135" s="101" t="str">
        <f t="shared" si="22"/>
        <v>EUR</v>
      </c>
      <c r="P135" s="72"/>
      <c r="Q135" s="72"/>
      <c r="R135" s="72"/>
      <c r="S135" s="72"/>
      <c r="T135" s="72"/>
      <c r="U135" s="72"/>
      <c r="V135" s="72"/>
      <c r="W135" s="72"/>
      <c r="X135" s="72"/>
      <c r="Y135" s="72"/>
      <c r="AA135" s="91"/>
      <c r="AB135" s="91"/>
      <c r="AC135" s="72"/>
      <c r="AD135" s="72"/>
      <c r="AE135" s="72"/>
      <c r="AF135" s="72"/>
      <c r="AG135" s="72"/>
      <c r="AH135" s="72"/>
      <c r="AI135" s="72"/>
    </row>
    <row r="136" spans="1:35" ht="13">
      <c r="A136" s="72"/>
      <c r="B136" s="72"/>
      <c r="C136" s="105" t="s">
        <v>63</v>
      </c>
      <c r="D136" s="72"/>
      <c r="E136" s="72"/>
      <c r="F136" s="6">
        <f t="shared" si="20"/>
        <v>0</v>
      </c>
      <c r="G136" s="16">
        <v>8</v>
      </c>
      <c r="H136" s="6">
        <f t="shared" si="23"/>
        <v>0</v>
      </c>
      <c r="I136" s="72"/>
      <c r="J136" s="72"/>
      <c r="K136" s="26">
        <f t="shared" si="24"/>
        <v>0</v>
      </c>
      <c r="M136" s="30">
        <f t="shared" si="21"/>
        <v>50</v>
      </c>
      <c r="N136" s="140">
        <f t="shared" si="25"/>
        <v>0</v>
      </c>
      <c r="O136" s="101" t="str">
        <f t="shared" si="22"/>
        <v>EUR</v>
      </c>
      <c r="P136" s="72"/>
      <c r="Q136" s="72"/>
      <c r="R136" s="72"/>
      <c r="S136" s="72"/>
      <c r="T136" s="72"/>
      <c r="U136" s="72"/>
      <c r="V136" s="72"/>
      <c r="W136" s="72"/>
      <c r="X136" s="72"/>
      <c r="Y136" s="72"/>
      <c r="AA136" s="91"/>
      <c r="AB136" s="91"/>
      <c r="AC136" s="72"/>
      <c r="AD136" s="72"/>
      <c r="AE136" s="72"/>
      <c r="AF136" s="72"/>
      <c r="AG136" s="72"/>
      <c r="AH136" s="72"/>
      <c r="AI136" s="72"/>
    </row>
    <row r="137" spans="1:35" ht="13">
      <c r="A137" s="72"/>
      <c r="B137" s="72"/>
      <c r="C137" s="214" t="str">
        <f>+C128</f>
        <v>TravelPerk/Navan</v>
      </c>
      <c r="D137" s="72"/>
      <c r="E137" s="72"/>
      <c r="F137" s="6">
        <f t="shared" si="20"/>
        <v>0</v>
      </c>
      <c r="G137" s="16">
        <v>5</v>
      </c>
      <c r="H137" s="6">
        <f t="shared" ref="H137" si="26">SUM(F137*G137)</f>
        <v>0</v>
      </c>
      <c r="I137" s="72"/>
      <c r="J137" s="72"/>
      <c r="K137" s="26">
        <f t="shared" ref="K137" si="27">SUM(H137/60)</f>
        <v>0</v>
      </c>
      <c r="M137" s="30">
        <f t="shared" si="21"/>
        <v>50</v>
      </c>
      <c r="N137" s="140">
        <f t="shared" ref="N137" si="28">SUM(K137*M137)</f>
        <v>0</v>
      </c>
      <c r="O137" s="101" t="str">
        <f t="shared" si="22"/>
        <v>EUR</v>
      </c>
      <c r="P137" s="72"/>
      <c r="Q137" s="72"/>
      <c r="R137" s="72"/>
      <c r="S137" s="72"/>
      <c r="T137" s="72"/>
      <c r="U137" s="72"/>
      <c r="V137" s="72"/>
      <c r="W137" s="72"/>
      <c r="X137" s="72"/>
      <c r="Y137" s="72"/>
      <c r="AA137" s="91"/>
      <c r="AB137" s="91"/>
      <c r="AC137" s="72"/>
      <c r="AD137" s="72"/>
      <c r="AE137" s="72"/>
      <c r="AF137" s="72"/>
      <c r="AG137" s="72"/>
      <c r="AH137" s="72"/>
      <c r="AI137" s="72"/>
    </row>
    <row r="138" spans="1:35" ht="13">
      <c r="A138" s="72"/>
      <c r="B138" s="72"/>
      <c r="C138" s="105" t="s">
        <v>44</v>
      </c>
      <c r="D138" s="72"/>
      <c r="E138" s="72"/>
      <c r="F138" s="6">
        <f t="shared" si="20"/>
        <v>0</v>
      </c>
      <c r="G138" s="16">
        <v>13</v>
      </c>
      <c r="H138" s="6">
        <f t="shared" si="23"/>
        <v>0</v>
      </c>
      <c r="I138" s="72"/>
      <c r="J138" s="72"/>
      <c r="K138" s="26">
        <f t="shared" si="24"/>
        <v>0</v>
      </c>
      <c r="M138" s="30">
        <f t="shared" si="21"/>
        <v>50</v>
      </c>
      <c r="N138" s="140">
        <f t="shared" si="25"/>
        <v>0</v>
      </c>
      <c r="O138" s="101" t="str">
        <f t="shared" si="22"/>
        <v>EUR</v>
      </c>
      <c r="P138" s="72"/>
      <c r="Q138" s="72"/>
      <c r="R138" s="72"/>
      <c r="S138" s="72"/>
      <c r="T138" s="72"/>
      <c r="U138" s="72"/>
      <c r="V138" s="72"/>
      <c r="W138" s="72"/>
      <c r="X138" s="72"/>
      <c r="Y138" s="72"/>
      <c r="AA138" s="91"/>
      <c r="AB138" s="91"/>
      <c r="AC138" s="72"/>
      <c r="AD138" s="72"/>
      <c r="AE138" s="72"/>
      <c r="AF138" s="72"/>
      <c r="AG138" s="72"/>
      <c r="AH138" s="72"/>
      <c r="AI138" s="72"/>
    </row>
    <row r="139" spans="1:35" ht="13">
      <c r="A139" s="72"/>
      <c r="B139" s="72"/>
      <c r="C139" s="105" t="s">
        <v>53</v>
      </c>
      <c r="D139" s="72"/>
      <c r="E139" s="72"/>
      <c r="F139" s="6">
        <f t="shared" si="20"/>
        <v>0</v>
      </c>
      <c r="G139" s="16">
        <v>13</v>
      </c>
      <c r="H139" s="6">
        <f t="shared" si="23"/>
        <v>0</v>
      </c>
      <c r="I139" s="72"/>
      <c r="J139" s="72"/>
      <c r="K139" s="26">
        <f t="shared" si="24"/>
        <v>0</v>
      </c>
      <c r="M139" s="30">
        <f t="shared" si="21"/>
        <v>50</v>
      </c>
      <c r="N139" s="140">
        <f t="shared" si="25"/>
        <v>0</v>
      </c>
      <c r="O139" s="101" t="str">
        <f t="shared" si="22"/>
        <v>EUR</v>
      </c>
      <c r="P139" s="72"/>
      <c r="Q139" s="72"/>
      <c r="R139" s="72"/>
      <c r="S139" s="72"/>
      <c r="T139" s="72"/>
      <c r="U139" s="72"/>
      <c r="V139" s="72"/>
      <c r="W139" s="72"/>
      <c r="X139" s="72"/>
      <c r="Y139" s="72"/>
      <c r="AA139" s="91"/>
      <c r="AB139" s="91"/>
      <c r="AC139" s="72"/>
      <c r="AD139" s="72"/>
      <c r="AE139" s="72"/>
      <c r="AF139" s="72"/>
      <c r="AG139" s="72"/>
      <c r="AH139" s="72"/>
      <c r="AI139" s="72"/>
    </row>
    <row r="140" spans="1:35" ht="13">
      <c r="A140" s="72"/>
      <c r="B140" s="72"/>
      <c r="C140" s="105" t="s">
        <v>27</v>
      </c>
      <c r="D140" s="72"/>
      <c r="E140" s="72"/>
      <c r="F140" s="106">
        <f>SUM(F134:F139)</f>
        <v>0</v>
      </c>
      <c r="G140" s="72"/>
      <c r="H140" s="106">
        <f>SUM(H134:H139)</f>
        <v>0</v>
      </c>
      <c r="I140" s="72"/>
      <c r="J140" s="72"/>
      <c r="K140" s="106">
        <f>SUM(K134:K139)</f>
        <v>0</v>
      </c>
      <c r="L140" s="72"/>
      <c r="M140" s="127"/>
      <c r="N140" s="106">
        <f>SUM(N134:N139)</f>
        <v>0</v>
      </c>
      <c r="O140" s="101" t="str">
        <f t="shared" si="22"/>
        <v>EUR</v>
      </c>
      <c r="P140" s="72"/>
      <c r="Q140" s="72"/>
      <c r="R140" s="72"/>
      <c r="S140" s="72"/>
      <c r="T140" s="72"/>
      <c r="U140" s="72"/>
      <c r="V140" s="72"/>
      <c r="W140" s="72"/>
      <c r="X140" s="72"/>
      <c r="Y140" s="72"/>
      <c r="AA140" s="91"/>
      <c r="AB140" s="91"/>
      <c r="AC140" s="72"/>
      <c r="AD140" s="72"/>
      <c r="AE140" s="72"/>
      <c r="AF140" s="72"/>
      <c r="AG140" s="72"/>
      <c r="AH140" s="72"/>
      <c r="AI140" s="72"/>
    </row>
    <row r="141" spans="1:35" ht="13">
      <c r="A141" s="72"/>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AA141" s="91"/>
      <c r="AB141" s="91"/>
      <c r="AC141" s="72"/>
      <c r="AD141" s="72"/>
      <c r="AE141" s="72"/>
      <c r="AF141" s="72"/>
      <c r="AG141" s="72"/>
      <c r="AH141" s="72"/>
      <c r="AI141" s="72"/>
    </row>
    <row r="142" spans="1:35" ht="13.5" thickBot="1">
      <c r="A142" s="72"/>
      <c r="B142" s="72"/>
      <c r="C142" s="72"/>
      <c r="D142" s="72"/>
      <c r="E142" s="72"/>
      <c r="F142" s="72"/>
      <c r="G142" s="72"/>
      <c r="H142" s="72"/>
      <c r="I142" s="72"/>
      <c r="J142" s="72"/>
      <c r="K142" s="72"/>
      <c r="L142" s="72"/>
      <c r="M142" s="243" t="s">
        <v>350</v>
      </c>
      <c r="N142" s="139">
        <f>SUM(N131-N140)</f>
        <v>0</v>
      </c>
      <c r="O142" s="88" t="str">
        <f>$H$18&amp;" added to Total Savings"</f>
        <v>EUR added to Total Savings</v>
      </c>
      <c r="P142" s="70"/>
      <c r="Q142" s="70"/>
      <c r="R142" s="89"/>
      <c r="S142" s="89"/>
      <c r="T142" s="89"/>
      <c r="U142" s="89"/>
      <c r="V142" s="89"/>
      <c r="W142" s="89"/>
      <c r="X142" s="89"/>
      <c r="Y142" s="89"/>
      <c r="Z142" s="157"/>
      <c r="AA142" s="132"/>
      <c r="AB142" s="132"/>
      <c r="AC142" s="89"/>
      <c r="AD142" s="72"/>
      <c r="AE142" s="72"/>
      <c r="AF142" s="72"/>
      <c r="AG142" s="72"/>
      <c r="AH142" s="72"/>
      <c r="AI142" s="72"/>
    </row>
    <row r="143" spans="1:35" ht="13" hidden="1">
      <c r="A143" s="72" t="s">
        <v>172</v>
      </c>
      <c r="B143" s="105" t="s">
        <v>81</v>
      </c>
      <c r="C143" s="72"/>
      <c r="D143" s="72"/>
      <c r="E143" s="72"/>
      <c r="F143" s="103"/>
      <c r="G143" s="72"/>
      <c r="H143" s="72"/>
      <c r="I143" s="98" t="s">
        <v>8</v>
      </c>
      <c r="J143" s="72"/>
      <c r="K143" s="105" t="s">
        <v>14</v>
      </c>
      <c r="L143" s="72"/>
      <c r="M143" s="99" t="s">
        <v>75</v>
      </c>
      <c r="N143" s="133" t="s">
        <v>78</v>
      </c>
      <c r="O143" s="72"/>
      <c r="P143" s="105" t="s">
        <v>82</v>
      </c>
      <c r="Q143" s="105"/>
      <c r="R143" s="72"/>
      <c r="S143" s="72"/>
      <c r="T143" s="72"/>
      <c r="U143" s="72"/>
      <c r="V143" s="72"/>
      <c r="W143" s="72"/>
      <c r="X143" s="72"/>
      <c r="Y143" s="72"/>
      <c r="AA143" s="91"/>
      <c r="AB143" s="91"/>
      <c r="AC143" s="72"/>
      <c r="AD143" s="72"/>
      <c r="AE143" s="72"/>
      <c r="AF143" s="72"/>
      <c r="AG143" s="72"/>
      <c r="AH143" s="72"/>
      <c r="AI143" s="72"/>
    </row>
    <row r="144" spans="1:35" ht="13" hidden="1">
      <c r="A144" s="72"/>
      <c r="B144" s="72"/>
      <c r="C144" s="72"/>
      <c r="D144" s="72"/>
      <c r="E144" s="72"/>
      <c r="F144" s="72"/>
      <c r="G144" s="72"/>
      <c r="H144" s="72"/>
      <c r="I144" s="129">
        <f>SUM(I42:I43)</f>
        <v>0</v>
      </c>
      <c r="J144" s="72"/>
      <c r="K144" s="104">
        <f>+W57</f>
        <v>0</v>
      </c>
      <c r="L144" s="72"/>
      <c r="M144" s="99" t="s">
        <v>77</v>
      </c>
      <c r="N144" s="133" t="s">
        <v>75</v>
      </c>
      <c r="O144" s="72"/>
      <c r="P144" s="105" t="s">
        <v>75</v>
      </c>
      <c r="Q144" s="105"/>
      <c r="R144" s="72"/>
      <c r="S144" s="72"/>
      <c r="T144" s="72"/>
      <c r="U144" s="72"/>
      <c r="V144" s="72"/>
      <c r="W144" s="72"/>
      <c r="X144" s="72"/>
      <c r="Y144" s="72"/>
      <c r="AA144" s="91"/>
      <c r="AB144" s="91"/>
      <c r="AC144" s="72"/>
      <c r="AD144" s="72"/>
      <c r="AE144" s="72"/>
      <c r="AF144" s="72"/>
      <c r="AG144" s="72"/>
      <c r="AH144" s="72"/>
      <c r="AI144" s="72"/>
    </row>
    <row r="145" spans="1:83" ht="13" hidden="1">
      <c r="A145" s="72"/>
      <c r="B145" s="72"/>
      <c r="C145" s="72"/>
      <c r="D145" s="72"/>
      <c r="E145" s="72"/>
      <c r="F145" s="103"/>
      <c r="G145" s="72"/>
      <c r="H145" s="72"/>
      <c r="I145" s="98"/>
      <c r="J145" s="72"/>
      <c r="K145" s="72"/>
      <c r="L145" s="72"/>
      <c r="M145" s="97"/>
      <c r="N145" s="106"/>
      <c r="O145" s="72"/>
      <c r="P145" s="72"/>
      <c r="Q145" s="72"/>
      <c r="R145" s="72"/>
      <c r="S145" s="72"/>
      <c r="T145" s="72"/>
      <c r="U145" s="72"/>
      <c r="V145" s="72"/>
      <c r="W145" s="72"/>
      <c r="X145" s="72"/>
      <c r="Y145" s="72"/>
      <c r="AA145" s="91"/>
      <c r="AB145" s="91"/>
      <c r="AC145" s="72"/>
      <c r="AD145" s="72"/>
      <c r="AE145" s="72"/>
      <c r="AF145" s="72"/>
      <c r="AG145" s="72"/>
      <c r="AH145" s="72"/>
      <c r="AI145" s="72"/>
    </row>
    <row r="146" spans="1:83" ht="13" hidden="1">
      <c r="A146" s="72"/>
      <c r="B146" s="72"/>
      <c r="C146" s="72"/>
      <c r="D146" s="72"/>
      <c r="E146" s="105" t="s">
        <v>74</v>
      </c>
      <c r="F146" s="103"/>
      <c r="G146" s="72"/>
      <c r="H146" s="72"/>
      <c r="I146" s="130">
        <v>20</v>
      </c>
      <c r="J146" s="72"/>
      <c r="K146" s="104">
        <f>SUM(K144/100*I146)</f>
        <v>0</v>
      </c>
      <c r="L146" s="72"/>
      <c r="M146" s="97"/>
      <c r="N146" s="106"/>
      <c r="O146" s="72"/>
      <c r="P146" s="72"/>
      <c r="Q146" s="72"/>
      <c r="R146" s="72"/>
      <c r="S146" s="72"/>
      <c r="T146" s="72"/>
      <c r="U146" s="72"/>
      <c r="V146" s="72"/>
      <c r="W146" s="72"/>
      <c r="X146" s="72"/>
      <c r="Y146" s="72"/>
      <c r="AA146" s="91"/>
      <c r="AB146" s="91"/>
      <c r="AC146" s="72"/>
      <c r="AD146" s="72"/>
      <c r="AE146" s="72"/>
      <c r="AF146" s="72"/>
      <c r="AG146" s="72"/>
      <c r="AH146" s="72"/>
      <c r="AI146" s="72"/>
    </row>
    <row r="147" spans="1:83" ht="13" hidden="1">
      <c r="A147" s="72"/>
      <c r="B147" s="72"/>
      <c r="C147" s="72"/>
      <c r="D147" s="72"/>
      <c r="E147" s="105" t="s">
        <v>76</v>
      </c>
      <c r="F147" s="103"/>
      <c r="G147" s="72"/>
      <c r="H147" s="72"/>
      <c r="I147" s="130">
        <f>SUM(100-I146)</f>
        <v>80</v>
      </c>
      <c r="J147" s="72"/>
      <c r="K147" s="104">
        <f>SUM(K144-K146)</f>
        <v>0</v>
      </c>
      <c r="L147" s="72"/>
      <c r="M147" s="134">
        <f>+M27</f>
        <v>2.5</v>
      </c>
      <c r="N147" s="104">
        <f>SUM(K147*M147)</f>
        <v>0</v>
      </c>
      <c r="O147" s="72"/>
      <c r="P147" s="72"/>
      <c r="Q147" s="72"/>
      <c r="R147" s="72"/>
      <c r="S147" s="72"/>
      <c r="T147" s="72"/>
      <c r="U147" s="72"/>
      <c r="V147" s="72"/>
      <c r="W147" s="72"/>
      <c r="X147" s="72"/>
      <c r="Y147" s="72"/>
      <c r="AA147" s="91"/>
      <c r="AB147" s="91"/>
      <c r="AC147" s="72"/>
      <c r="AD147" s="72"/>
      <c r="AE147" s="72"/>
      <c r="AF147" s="72"/>
      <c r="AG147" s="72"/>
      <c r="AH147" s="72"/>
      <c r="AI147" s="72"/>
    </row>
    <row r="148" spans="1:83" ht="13" hidden="1">
      <c r="A148" s="72"/>
      <c r="B148" s="72"/>
      <c r="C148" s="72"/>
      <c r="D148" s="72"/>
      <c r="E148" s="105" t="s">
        <v>79</v>
      </c>
      <c r="F148" s="72"/>
      <c r="G148" s="72"/>
      <c r="H148" s="72"/>
      <c r="I148" s="72"/>
      <c r="J148" s="72"/>
      <c r="K148" s="72"/>
      <c r="L148" s="72"/>
      <c r="M148" s="72"/>
      <c r="N148" s="106">
        <f>+P27</f>
        <v>0</v>
      </c>
      <c r="O148" s="72"/>
      <c r="P148" s="106">
        <f>SUM(N147-N148)</f>
        <v>0</v>
      </c>
      <c r="Q148" s="106"/>
      <c r="R148" s="72"/>
      <c r="S148" s="72"/>
      <c r="T148" s="72"/>
      <c r="U148" s="72"/>
      <c r="V148" s="72"/>
      <c r="W148" s="72"/>
      <c r="X148" s="72"/>
      <c r="Y148" s="72"/>
      <c r="AA148" s="91"/>
      <c r="AB148" s="91"/>
      <c r="AC148" s="72"/>
      <c r="AD148" s="72"/>
      <c r="AE148" s="72"/>
      <c r="AF148" s="72"/>
      <c r="AG148" s="72"/>
      <c r="AH148" s="72"/>
      <c r="AI148" s="72"/>
    </row>
    <row r="149" spans="1:83" ht="13.5" thickTop="1">
      <c r="A149" s="72"/>
      <c r="B149" s="72"/>
      <c r="C149" s="72"/>
      <c r="D149" s="72"/>
      <c r="E149" s="105"/>
      <c r="F149" s="72"/>
      <c r="G149" s="72"/>
      <c r="H149" s="72"/>
      <c r="I149" s="72"/>
      <c r="J149" s="72"/>
      <c r="K149" s="72"/>
      <c r="L149" s="72"/>
      <c r="M149" s="72"/>
      <c r="N149" s="106"/>
      <c r="O149" s="72"/>
      <c r="P149" s="72"/>
      <c r="Q149" s="72"/>
      <c r="R149" s="72"/>
      <c r="S149" s="72"/>
      <c r="T149" s="72"/>
      <c r="U149" s="72"/>
      <c r="V149" s="72"/>
      <c r="W149" s="72"/>
      <c r="X149" s="72"/>
      <c r="Y149" s="72"/>
      <c r="AA149" s="91"/>
      <c r="AB149" s="91"/>
      <c r="AC149" s="72"/>
      <c r="AD149" s="72"/>
      <c r="AE149" s="72"/>
      <c r="AF149" s="72"/>
      <c r="AG149" s="72"/>
      <c r="AH149" s="72"/>
      <c r="AI149" s="72"/>
    </row>
    <row r="150" spans="1:83" ht="13">
      <c r="A150" s="72"/>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AA150" s="91"/>
      <c r="AB150" s="91"/>
      <c r="AC150" s="72"/>
      <c r="AD150" s="72"/>
      <c r="AE150" s="72"/>
      <c r="AF150" s="72"/>
      <c r="AG150" s="72"/>
      <c r="AH150" s="72"/>
      <c r="AI150" s="72"/>
    </row>
    <row r="151" spans="1:83" s="52" customFormat="1" ht="7" customHeight="1">
      <c r="M151" s="53"/>
      <c r="N151" s="54"/>
      <c r="Z151" s="153"/>
      <c r="AJ151" s="72"/>
      <c r="AK151" s="72"/>
      <c r="AL151" s="72"/>
      <c r="AM151" s="72"/>
      <c r="AN151" s="72"/>
      <c r="AO151" s="72"/>
      <c r="AP151" s="72"/>
      <c r="AQ151" s="72"/>
      <c r="AR151" s="72"/>
      <c r="AS151" s="72"/>
      <c r="AT151" s="72"/>
      <c r="AU151" s="72"/>
      <c r="AV151" s="72"/>
      <c r="AW151" s="72"/>
      <c r="AX151" s="72"/>
      <c r="AY151" s="72"/>
      <c r="AZ151" s="72"/>
      <c r="BA151" s="72"/>
      <c r="BB151" s="72"/>
      <c r="BC151" s="72"/>
      <c r="BD151" s="72"/>
      <c r="BE151" s="72"/>
      <c r="BF151" s="72"/>
      <c r="BG151" s="72"/>
      <c r="BH151" s="72"/>
      <c r="BI151" s="72"/>
      <c r="BJ151" s="72"/>
      <c r="BK151" s="72"/>
      <c r="BL151" s="72"/>
      <c r="BM151" s="72"/>
      <c r="BN151" s="72"/>
      <c r="BO151" s="72"/>
      <c r="BP151" s="72"/>
      <c r="BQ151" s="72"/>
      <c r="BR151" s="72"/>
      <c r="BS151" s="72"/>
      <c r="BT151" s="72"/>
      <c r="BU151" s="72"/>
      <c r="BV151" s="72"/>
      <c r="BW151" s="72"/>
      <c r="BX151" s="72"/>
      <c r="BY151" s="72"/>
      <c r="BZ151" s="72"/>
      <c r="CA151" s="72"/>
      <c r="CB151" s="72"/>
      <c r="CC151" s="72"/>
      <c r="CD151" s="72"/>
      <c r="CE151" s="72"/>
    </row>
    <row r="152" spans="1:83" s="110" customFormat="1" ht="20" customHeight="1">
      <c r="A152" s="110" t="s">
        <v>193</v>
      </c>
      <c r="B152" s="110" t="s">
        <v>199</v>
      </c>
      <c r="M152" s="111"/>
      <c r="N152" s="112"/>
      <c r="Z152" s="156"/>
      <c r="AJ152" s="150"/>
      <c r="AK152" s="150"/>
      <c r="AL152" s="150"/>
      <c r="AM152" s="150"/>
      <c r="AN152" s="150"/>
      <c r="AO152" s="150"/>
      <c r="AP152" s="150"/>
      <c r="AQ152" s="150"/>
      <c r="AR152" s="150"/>
      <c r="AS152" s="150"/>
      <c r="AT152" s="150"/>
      <c r="AU152" s="150"/>
      <c r="AV152" s="150"/>
      <c r="AW152" s="150"/>
      <c r="AX152" s="150"/>
      <c r="AY152" s="150"/>
      <c r="AZ152" s="150"/>
      <c r="BA152" s="150"/>
      <c r="BB152" s="150"/>
      <c r="BC152" s="150"/>
      <c r="BD152" s="150"/>
      <c r="BE152" s="150"/>
      <c r="BF152" s="150"/>
      <c r="BG152" s="150"/>
      <c r="BH152" s="150"/>
      <c r="BI152" s="150"/>
      <c r="BJ152" s="150"/>
      <c r="BK152" s="150"/>
      <c r="BL152" s="150"/>
      <c r="BM152" s="150"/>
      <c r="BN152" s="150"/>
      <c r="BO152" s="150"/>
      <c r="BP152" s="150"/>
      <c r="BQ152" s="150"/>
      <c r="BR152" s="150"/>
      <c r="BS152" s="150"/>
      <c r="BT152" s="150"/>
      <c r="BU152" s="150"/>
      <c r="BV152" s="150"/>
      <c r="BW152" s="150"/>
      <c r="BX152" s="150"/>
      <c r="BY152" s="150"/>
      <c r="BZ152" s="150"/>
      <c r="CA152" s="150"/>
      <c r="CB152" s="150"/>
      <c r="CC152" s="150"/>
      <c r="CD152" s="150"/>
      <c r="CE152" s="150"/>
    </row>
    <row r="153" spans="1:83" s="72" customFormat="1" ht="13">
      <c r="Z153" s="153"/>
      <c r="AA153" s="91"/>
      <c r="AB153" s="91"/>
    </row>
    <row r="154" spans="1:83" s="72" customFormat="1" ht="13">
      <c r="Z154" s="153"/>
      <c r="AA154" s="91"/>
      <c r="AB154" s="91"/>
    </row>
    <row r="155" spans="1:83" s="72" customFormat="1" ht="13">
      <c r="G155" s="206" t="str">
        <f>IF(Z$157="yes","Note - Break Down AIR model used"," ")</f>
        <v xml:space="preserve"> </v>
      </c>
      <c r="Y155" s="74" t="s">
        <v>4</v>
      </c>
      <c r="Z155" s="155" t="s">
        <v>295</v>
      </c>
      <c r="AA155" s="91"/>
      <c r="AB155" s="91"/>
    </row>
    <row r="156" spans="1:83" ht="13">
      <c r="A156" s="72"/>
      <c r="B156" s="72"/>
      <c r="C156" s="74" t="s">
        <v>221</v>
      </c>
      <c r="D156" s="72"/>
      <c r="E156" s="74" t="s">
        <v>298</v>
      </c>
      <c r="F156" s="105"/>
      <c r="G156" s="206" t="str">
        <f>IF(Z$157="no","Note - Basic air model used"," ")</f>
        <v>Note - Basic air model used</v>
      </c>
      <c r="H156" s="72"/>
      <c r="I156" s="72"/>
      <c r="J156" s="72"/>
      <c r="K156" s="214" t="s">
        <v>329</v>
      </c>
      <c r="L156" s="72"/>
      <c r="M156" s="72"/>
      <c r="N156" s="72"/>
      <c r="O156" s="72"/>
      <c r="P156" s="72"/>
      <c r="Q156" s="72"/>
      <c r="R156" s="72"/>
      <c r="S156" s="72"/>
      <c r="T156" s="72"/>
      <c r="U156" s="72"/>
      <c r="V156" s="72"/>
      <c r="W156" s="72"/>
      <c r="X156" s="72"/>
      <c r="Y156" s="72"/>
      <c r="Z156" s="184" t="str">
        <f>+G46</f>
        <v>No</v>
      </c>
      <c r="AA156" s="91"/>
      <c r="AB156" s="91"/>
      <c r="AC156" s="72"/>
      <c r="AD156" s="72"/>
      <c r="AE156" s="72"/>
      <c r="AF156" s="72"/>
      <c r="AG156" s="72"/>
      <c r="AH156" s="72"/>
      <c r="AI156" s="72"/>
    </row>
    <row r="157" spans="1:83" ht="13">
      <c r="A157" s="72"/>
      <c r="B157" s="72"/>
      <c r="D157" s="72"/>
      <c r="E157" s="72"/>
      <c r="F157" s="105"/>
      <c r="G157" s="100" t="s">
        <v>297</v>
      </c>
      <c r="H157" s="99" t="s">
        <v>14</v>
      </c>
      <c r="I157" s="72"/>
      <c r="J157" s="72"/>
      <c r="K157" s="75" t="s">
        <v>293</v>
      </c>
      <c r="L157" s="72"/>
      <c r="M157" s="99" t="s">
        <v>69</v>
      </c>
      <c r="N157" s="72"/>
      <c r="O157" s="72"/>
      <c r="P157" s="72"/>
      <c r="Q157" s="72"/>
      <c r="R157" s="72"/>
      <c r="S157" s="72"/>
      <c r="T157" s="72"/>
      <c r="U157" s="72"/>
      <c r="V157" s="72"/>
      <c r="W157" s="72"/>
      <c r="X157" s="72"/>
      <c r="Y157" s="72"/>
      <c r="Z157" s="185" t="str">
        <f>+Z156</f>
        <v>No</v>
      </c>
      <c r="AA157" s="91"/>
      <c r="AB157" s="91"/>
      <c r="AC157" s="72"/>
      <c r="AD157" s="75" t="s">
        <v>171</v>
      </c>
      <c r="AE157" s="72"/>
      <c r="AF157" s="72"/>
      <c r="AG157" s="72"/>
      <c r="AH157" s="72"/>
      <c r="AI157" s="72"/>
    </row>
    <row r="158" spans="1:83" ht="13">
      <c r="A158" s="72"/>
      <c r="B158" s="75"/>
      <c r="C158" s="185"/>
      <c r="D158" s="72"/>
      <c r="E158" s="105" t="s">
        <v>88</v>
      </c>
      <c r="F158" s="105"/>
      <c r="G158" s="6">
        <f>IF(Z157="no",0,+T53)</f>
        <v>0</v>
      </c>
      <c r="H158" s="36">
        <f>IF(Z157="No",0,+N53)</f>
        <v>0</v>
      </c>
      <c r="I158" s="72"/>
      <c r="J158" s="72"/>
      <c r="K158" s="8">
        <f>HLOOKUP(N158,$AC$160:$AH$164,AB162,)</f>
        <v>0</v>
      </c>
      <c r="L158" s="72"/>
      <c r="M158" s="6">
        <f>SUM(H158*K158)</f>
        <v>0</v>
      </c>
      <c r="N158" s="101" t="str">
        <f>+$H$18</f>
        <v>EUR</v>
      </c>
      <c r="O158" s="72"/>
      <c r="P158" s="72"/>
      <c r="Q158" s="72"/>
      <c r="R158" s="72"/>
      <c r="S158" s="72"/>
      <c r="T158" s="72"/>
      <c r="U158" s="72"/>
      <c r="V158" s="72"/>
      <c r="W158" s="72"/>
      <c r="X158" s="72"/>
      <c r="Y158" s="72"/>
      <c r="AA158" s="91"/>
      <c r="AC158" s="75" t="s">
        <v>293</v>
      </c>
      <c r="AE158" s="72"/>
      <c r="AF158" s="72"/>
      <c r="AG158" s="72"/>
      <c r="AH158" s="72"/>
      <c r="AI158" s="72"/>
    </row>
    <row r="159" spans="1:83" ht="13">
      <c r="A159" s="72"/>
      <c r="B159" s="185"/>
      <c r="C159" s="72"/>
      <c r="D159" s="72"/>
      <c r="E159" s="75" t="s">
        <v>223</v>
      </c>
      <c r="F159" s="117"/>
      <c r="G159" s="6">
        <f>IF(Z157="No",H113,T54)</f>
        <v>50</v>
      </c>
      <c r="H159" s="7">
        <f>IF(Z157="No",I113,N54)</f>
        <v>0</v>
      </c>
      <c r="I159" s="72"/>
      <c r="J159" s="72"/>
      <c r="K159" s="8">
        <f t="shared" ref="K159:K160" si="29">HLOOKUP(N159,$AC$160:$AH$164,AB163,)</f>
        <v>10</v>
      </c>
      <c r="L159" s="72"/>
      <c r="M159" s="6">
        <f>SUM(H159*K159)</f>
        <v>0</v>
      </c>
      <c r="N159" s="101" t="str">
        <f>+$H$18</f>
        <v>EUR</v>
      </c>
      <c r="O159" s="72"/>
      <c r="P159" s="72"/>
      <c r="Q159" s="72"/>
      <c r="R159" s="72"/>
      <c r="S159" s="72"/>
      <c r="T159" s="72"/>
      <c r="U159" s="72"/>
      <c r="V159" s="72"/>
      <c r="W159" s="72"/>
      <c r="X159" s="72"/>
      <c r="Y159" s="72"/>
      <c r="AA159" s="91"/>
      <c r="AB159" s="72"/>
      <c r="AC159" s="98">
        <v>7.5</v>
      </c>
      <c r="AD159" s="98">
        <v>10</v>
      </c>
      <c r="AE159" s="98">
        <v>10</v>
      </c>
      <c r="AF159" s="98">
        <v>1</v>
      </c>
      <c r="AG159" s="98">
        <v>1.1000000000000001</v>
      </c>
      <c r="AH159" s="98">
        <v>0.9</v>
      </c>
      <c r="AI159" s="72"/>
    </row>
    <row r="160" spans="1:83" ht="13">
      <c r="A160" s="72"/>
      <c r="B160" s="185"/>
      <c r="C160" s="72"/>
      <c r="D160" s="72"/>
      <c r="E160" s="75" t="s">
        <v>222</v>
      </c>
      <c r="F160" s="72"/>
      <c r="G160" s="6">
        <f>IF(Z157="No",SUM(100-G159),T55)</f>
        <v>50</v>
      </c>
      <c r="H160" s="7">
        <f>IF(Z157="no",SUM(G113-H159),N55)</f>
        <v>0</v>
      </c>
      <c r="I160" s="72"/>
      <c r="J160" s="72"/>
      <c r="K160" s="8">
        <f t="shared" si="29"/>
        <v>50</v>
      </c>
      <c r="L160" s="72"/>
      <c r="M160" s="6">
        <f>SUM(H160*K160)</f>
        <v>0</v>
      </c>
      <c r="N160" s="101" t="str">
        <f>+$H$18</f>
        <v>EUR</v>
      </c>
      <c r="O160" s="72"/>
      <c r="P160" s="72"/>
      <c r="Q160" s="72"/>
      <c r="R160" s="72"/>
      <c r="S160" s="72"/>
      <c r="T160" s="72"/>
      <c r="U160" s="72"/>
      <c r="V160" s="72"/>
      <c r="W160" s="72"/>
      <c r="X160" s="72"/>
      <c r="Y160" s="72"/>
      <c r="AA160" s="91"/>
      <c r="AB160" s="72"/>
      <c r="AC160" s="115" t="s">
        <v>237</v>
      </c>
      <c r="AD160" s="115" t="s">
        <v>238</v>
      </c>
      <c r="AE160" s="115" t="s">
        <v>239</v>
      </c>
      <c r="AF160" s="115" t="s">
        <v>38</v>
      </c>
      <c r="AG160" s="115" t="s">
        <v>240</v>
      </c>
      <c r="AH160" s="115" t="s">
        <v>241</v>
      </c>
      <c r="AI160" s="72"/>
    </row>
    <row r="161" spans="1:35" ht="13">
      <c r="A161" s="72"/>
      <c r="B161" s="72"/>
      <c r="C161" s="72"/>
      <c r="D161" s="72"/>
      <c r="E161" s="72"/>
      <c r="F161" s="72"/>
      <c r="G161" s="106">
        <f>SUM(G158:G160)</f>
        <v>100</v>
      </c>
      <c r="H161" s="106">
        <f>SUM(H158:H160)</f>
        <v>0</v>
      </c>
      <c r="I161" s="72"/>
      <c r="J161" s="72"/>
      <c r="K161" s="72"/>
      <c r="L161" s="72"/>
      <c r="M161" s="106">
        <f>SUM(M158:M160)</f>
        <v>0</v>
      </c>
      <c r="N161" s="101" t="str">
        <f>+$H$18</f>
        <v>EUR</v>
      </c>
      <c r="P161" s="72"/>
      <c r="Q161" s="72"/>
      <c r="R161" s="72"/>
      <c r="S161" s="72"/>
      <c r="T161" s="72"/>
      <c r="U161" s="72"/>
      <c r="V161" s="72"/>
      <c r="W161" s="72"/>
      <c r="X161" s="72"/>
      <c r="Y161" s="72"/>
      <c r="AA161" s="91"/>
      <c r="AB161" s="72"/>
      <c r="AC161" s="98"/>
      <c r="AD161" s="98"/>
      <c r="AE161" s="98"/>
      <c r="AF161" s="98"/>
      <c r="AG161" s="98"/>
      <c r="AH161" s="98"/>
      <c r="AI161" s="72"/>
    </row>
    <row r="162" spans="1:35" ht="13">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177" t="s">
        <v>331</v>
      </c>
      <c r="Y162" s="75" t="s">
        <v>330</v>
      </c>
      <c r="AA162" s="91" t="s">
        <v>305</v>
      </c>
      <c r="AB162">
        <v>3</v>
      </c>
      <c r="AC162" s="176">
        <f>SUM($AF162*AC$23)</f>
        <v>0</v>
      </c>
      <c r="AD162" s="176">
        <f t="shared" ref="AD162:AE166" si="30">SUM($AF162*AD$23)</f>
        <v>0</v>
      </c>
      <c r="AE162" s="176">
        <f t="shared" si="30"/>
        <v>0</v>
      </c>
      <c r="AF162" s="170">
        <v>0</v>
      </c>
      <c r="AG162" s="176">
        <f t="shared" ref="AG162:AI166" si="31">SUM($AF162*AG$23)</f>
        <v>0</v>
      </c>
      <c r="AH162" s="176">
        <f t="shared" si="31"/>
        <v>0</v>
      </c>
      <c r="AI162" s="72"/>
    </row>
    <row r="163" spans="1:35" ht="13">
      <c r="A163" s="72"/>
      <c r="B163" s="72"/>
      <c r="C163" s="72"/>
      <c r="D163" s="72"/>
      <c r="E163" s="74" t="s">
        <v>299</v>
      </c>
      <c r="F163" s="72"/>
      <c r="G163" s="72"/>
      <c r="H163" s="72"/>
      <c r="I163" s="72"/>
      <c r="J163" s="72"/>
      <c r="K163" s="219" t="s">
        <v>328</v>
      </c>
      <c r="L163" s="72"/>
      <c r="M163" s="72"/>
      <c r="N163" s="72"/>
      <c r="O163" s="72"/>
      <c r="P163" s="72"/>
      <c r="Q163" s="72"/>
      <c r="R163" s="72"/>
      <c r="S163" s="72"/>
      <c r="T163" s="72"/>
      <c r="U163" s="72"/>
      <c r="V163" s="72"/>
      <c r="W163" s="72"/>
      <c r="X163" s="72"/>
      <c r="Y163" s="75" t="s">
        <v>304</v>
      </c>
      <c r="Z163" s="164">
        <f>+U38</f>
        <v>1</v>
      </c>
      <c r="AA163" s="91">
        <f>IF(Z163=9,K159*-1,K160-K159)</f>
        <v>40</v>
      </c>
      <c r="AB163">
        <v>4</v>
      </c>
      <c r="AC163" s="176">
        <f t="shared" ref="AC163:AC166" si="32">SUM($AF163*AC$23)</f>
        <v>75</v>
      </c>
      <c r="AD163" s="176">
        <f t="shared" si="30"/>
        <v>100</v>
      </c>
      <c r="AE163" s="176">
        <f t="shared" si="30"/>
        <v>100</v>
      </c>
      <c r="AF163" s="170">
        <v>10</v>
      </c>
      <c r="AG163" s="176">
        <f t="shared" si="31"/>
        <v>11</v>
      </c>
      <c r="AH163" s="176">
        <f t="shared" si="31"/>
        <v>9</v>
      </c>
      <c r="AI163" s="72"/>
    </row>
    <row r="164" spans="1:35" ht="13">
      <c r="A164" s="72"/>
      <c r="B164" s="72"/>
      <c r="C164" s="72"/>
      <c r="D164" s="72"/>
      <c r="F164" s="72"/>
      <c r="G164" s="100" t="s">
        <v>297</v>
      </c>
      <c r="H164" s="99" t="s">
        <v>14</v>
      </c>
      <c r="I164" s="72"/>
      <c r="J164" s="72"/>
      <c r="K164" s="219" t="s">
        <v>293</v>
      </c>
      <c r="L164" s="97"/>
      <c r="M164" s="201" t="s">
        <v>302</v>
      </c>
      <c r="N164" s="72"/>
      <c r="O164" s="72"/>
      <c r="P164" s="72"/>
      <c r="Q164" s="72"/>
      <c r="R164" s="72"/>
      <c r="S164" s="72"/>
      <c r="T164" s="72"/>
      <c r="U164" s="72"/>
      <c r="V164" s="72"/>
      <c r="W164" s="72"/>
      <c r="X164" s="72"/>
      <c r="Y164" s="72"/>
      <c r="AA164" s="91"/>
      <c r="AB164">
        <v>5</v>
      </c>
      <c r="AC164" s="176">
        <f t="shared" si="32"/>
        <v>375</v>
      </c>
      <c r="AD164" s="176">
        <f t="shared" si="30"/>
        <v>500</v>
      </c>
      <c r="AE164" s="176">
        <f t="shared" si="30"/>
        <v>500</v>
      </c>
      <c r="AF164" s="170">
        <v>50</v>
      </c>
      <c r="AG164" s="176">
        <f t="shared" si="31"/>
        <v>55.000000000000007</v>
      </c>
      <c r="AH164" s="176">
        <f t="shared" si="31"/>
        <v>45</v>
      </c>
      <c r="AI164" s="72"/>
    </row>
    <row r="165" spans="1:35">
      <c r="A165" s="72"/>
      <c r="B165" s="72"/>
      <c r="D165" s="72"/>
      <c r="E165" s="105" t="s">
        <v>88</v>
      </c>
      <c r="F165" s="72"/>
      <c r="G165" s="217">
        <v>5</v>
      </c>
      <c r="H165" s="6">
        <f>SUM(H$161/100*G165)</f>
        <v>0</v>
      </c>
      <c r="I165" s="72"/>
      <c r="J165" s="72"/>
      <c r="K165" s="8">
        <f>+K158</f>
        <v>0</v>
      </c>
      <c r="L165" s="72"/>
      <c r="M165" s="6">
        <f>SUM(H165*K165)</f>
        <v>0</v>
      </c>
      <c r="N165" s="101" t="str">
        <f>+$H$18</f>
        <v>EUR</v>
      </c>
      <c r="S165" s="72"/>
      <c r="T165" s="72"/>
      <c r="U165" s="72"/>
      <c r="V165" s="72"/>
      <c r="W165" s="72"/>
      <c r="X165" s="72"/>
      <c r="Y165" s="155" t="s">
        <v>303</v>
      </c>
      <c r="AA165" s="202">
        <f>ROUND((SUM(H166-H165)),0)</f>
        <v>0</v>
      </c>
      <c r="AB165">
        <v>6</v>
      </c>
      <c r="AC165" s="176">
        <f t="shared" si="32"/>
        <v>52.5</v>
      </c>
      <c r="AD165" s="176">
        <f t="shared" si="30"/>
        <v>70</v>
      </c>
      <c r="AE165" s="176">
        <f t="shared" si="30"/>
        <v>70</v>
      </c>
      <c r="AF165" s="170">
        <v>7</v>
      </c>
      <c r="AG165" s="176">
        <f t="shared" si="31"/>
        <v>7.7000000000000011</v>
      </c>
      <c r="AH165" s="176">
        <f t="shared" si="31"/>
        <v>6.3</v>
      </c>
      <c r="AI165" s="176">
        <f t="shared" si="31"/>
        <v>0</v>
      </c>
    </row>
    <row r="166" spans="1:35">
      <c r="A166" s="165"/>
      <c r="B166" s="72"/>
      <c r="C166" s="72"/>
      <c r="D166" s="72"/>
      <c r="E166" s="75" t="s">
        <v>223</v>
      </c>
      <c r="G166" s="37">
        <v>92</v>
      </c>
      <c r="H166" s="6">
        <f t="shared" ref="H166:H167" si="33">SUM(H$161/100*G166)</f>
        <v>0</v>
      </c>
      <c r="I166" s="72"/>
      <c r="J166" s="72"/>
      <c r="K166" s="8">
        <f>+K159</f>
        <v>10</v>
      </c>
      <c r="L166" s="72"/>
      <c r="M166" s="6">
        <f>SUM(H166*K166)</f>
        <v>0</v>
      </c>
      <c r="N166" s="101" t="str">
        <f>+$H$18</f>
        <v>EUR</v>
      </c>
      <c r="O166" s="106"/>
      <c r="P166" s="72"/>
      <c r="Q166" s="72"/>
      <c r="R166" s="72"/>
      <c r="S166" s="72"/>
      <c r="T166" s="72"/>
      <c r="U166" s="72"/>
      <c r="V166" s="72"/>
      <c r="W166" s="72"/>
      <c r="X166" s="72"/>
      <c r="Y166" s="75" t="s">
        <v>300</v>
      </c>
      <c r="AA166" s="203">
        <f>+AA163</f>
        <v>40</v>
      </c>
      <c r="AB166">
        <v>7</v>
      </c>
      <c r="AC166" s="176">
        <f t="shared" si="32"/>
        <v>105</v>
      </c>
      <c r="AD166" s="176">
        <f t="shared" si="30"/>
        <v>140</v>
      </c>
      <c r="AE166" s="176">
        <f t="shared" si="30"/>
        <v>140</v>
      </c>
      <c r="AF166" s="170">
        <v>14</v>
      </c>
      <c r="AG166" s="176">
        <f t="shared" si="31"/>
        <v>15.400000000000002</v>
      </c>
      <c r="AH166" s="176">
        <f t="shared" si="31"/>
        <v>12.6</v>
      </c>
      <c r="AI166" s="72"/>
    </row>
    <row r="167" spans="1:35">
      <c r="A167" s="165"/>
      <c r="B167" s="72"/>
      <c r="C167" s="72"/>
      <c r="D167" s="72"/>
      <c r="E167" s="75" t="s">
        <v>222</v>
      </c>
      <c r="G167" s="218">
        <f>SUM(100-(G165+G166))</f>
        <v>3</v>
      </c>
      <c r="H167" s="6">
        <f t="shared" si="33"/>
        <v>0</v>
      </c>
      <c r="I167" s="72"/>
      <c r="J167" s="72"/>
      <c r="K167" s="8">
        <f>+K160</f>
        <v>50</v>
      </c>
      <c r="L167" s="72"/>
      <c r="M167" s="6">
        <f>SUM(H167*K167)</f>
        <v>0</v>
      </c>
      <c r="N167" s="101" t="str">
        <f t="shared" ref="N167:N168" si="34">+$H$18</f>
        <v>EUR</v>
      </c>
      <c r="O167" s="106"/>
      <c r="P167" s="72"/>
      <c r="Q167" s="72"/>
      <c r="R167" s="72"/>
      <c r="S167" s="72"/>
      <c r="T167" s="72"/>
      <c r="U167" s="72"/>
      <c r="V167" s="72"/>
      <c r="W167" s="72"/>
      <c r="X167" s="72"/>
      <c r="Y167" s="75"/>
      <c r="AA167" s="203"/>
      <c r="AC167" s="176"/>
      <c r="AD167" s="176"/>
      <c r="AE167" s="176"/>
      <c r="AF167" s="170"/>
      <c r="AG167" s="176"/>
      <c r="AH167" s="176"/>
      <c r="AI167" s="72"/>
    </row>
    <row r="168" spans="1:35" ht="13">
      <c r="A168" s="72"/>
      <c r="B168" s="72"/>
      <c r="C168" s="72"/>
      <c r="D168" s="72"/>
      <c r="E168" s="205" t="s">
        <v>307</v>
      </c>
      <c r="F168" s="72"/>
      <c r="G168" s="72"/>
      <c r="H168" s="72"/>
      <c r="I168" s="72"/>
      <c r="J168" s="72"/>
      <c r="K168" s="72"/>
      <c r="L168" s="72"/>
      <c r="M168" s="106">
        <f>SUM(M165:M167)</f>
        <v>0</v>
      </c>
      <c r="N168" s="101" t="str">
        <f t="shared" si="34"/>
        <v>EUR</v>
      </c>
      <c r="P168" s="106"/>
      <c r="Q168" s="106"/>
      <c r="R168" s="72"/>
      <c r="S168" s="72"/>
      <c r="T168" s="72"/>
      <c r="U168" s="72"/>
      <c r="V168" s="72"/>
      <c r="W168" s="72"/>
      <c r="X168" s="177" t="s">
        <v>331</v>
      </c>
      <c r="Y168" s="75" t="s">
        <v>301</v>
      </c>
      <c r="AA168" s="203">
        <f>SUM(AA165*AA166)</f>
        <v>0</v>
      </c>
      <c r="AB168" s="91"/>
      <c r="AC168" s="72"/>
      <c r="AD168" s="72"/>
      <c r="AE168" s="72"/>
      <c r="AF168" s="72"/>
      <c r="AG168" s="72"/>
      <c r="AH168" s="72"/>
      <c r="AI168" s="72"/>
    </row>
    <row r="169" spans="1:35" ht="13">
      <c r="A169" s="72"/>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AA169" s="91"/>
      <c r="AB169" s="91"/>
      <c r="AC169" s="72"/>
      <c r="AD169" s="72"/>
      <c r="AE169" s="72"/>
      <c r="AF169" s="72"/>
      <c r="AG169" s="72"/>
      <c r="AH169" s="72"/>
      <c r="AI169" s="72"/>
    </row>
    <row r="170" spans="1:35" ht="13.5" thickBot="1">
      <c r="A170" s="72"/>
      <c r="B170" s="72"/>
      <c r="C170" s="72"/>
      <c r="D170" s="72"/>
      <c r="E170" s="72"/>
      <c r="F170" s="72"/>
      <c r="G170" s="72"/>
      <c r="H170" s="72"/>
      <c r="I170" s="72"/>
      <c r="J170" s="72"/>
      <c r="K170" s="72"/>
      <c r="L170" s="72"/>
      <c r="M170" s="243" t="s">
        <v>351</v>
      </c>
      <c r="N170" s="145">
        <f>ROUND(SUM(M161-M168),0)</f>
        <v>0</v>
      </c>
      <c r="O170" s="88" t="str">
        <f>$H$18&amp;" added to Total Savings"</f>
        <v>EUR added to Total Savings</v>
      </c>
      <c r="P170" s="70"/>
      <c r="Q170" s="70"/>
      <c r="R170" s="89"/>
      <c r="S170" s="89"/>
      <c r="T170" s="89"/>
      <c r="U170" s="89"/>
      <c r="V170" s="89"/>
      <c r="W170" s="89"/>
      <c r="X170" s="89"/>
      <c r="Y170" s="89"/>
      <c r="Z170" s="157"/>
      <c r="AA170" s="132"/>
      <c r="AB170" s="132"/>
      <c r="AC170" s="89"/>
      <c r="AD170" s="72"/>
      <c r="AE170" s="72"/>
      <c r="AF170" s="72"/>
      <c r="AG170" s="72"/>
      <c r="AH170" s="72"/>
      <c r="AI170" s="72"/>
    </row>
    <row r="171" spans="1:35" ht="13.5" thickTop="1">
      <c r="A171" s="72"/>
      <c r="B171" s="72"/>
      <c r="C171" s="72"/>
      <c r="D171" s="72"/>
      <c r="E171" s="72"/>
      <c r="F171" s="72"/>
      <c r="G171" s="72"/>
      <c r="H171" s="205" t="s">
        <v>308</v>
      </c>
      <c r="I171" s="72"/>
      <c r="J171" s="72"/>
      <c r="K171" s="72"/>
      <c r="L171" s="72"/>
      <c r="M171" s="131"/>
      <c r="N171" s="137"/>
      <c r="O171" s="74"/>
      <c r="P171" s="72"/>
      <c r="Q171" s="72"/>
      <c r="R171" s="72"/>
      <c r="S171" s="72"/>
      <c r="T171" s="72"/>
      <c r="U171" s="72"/>
      <c r="V171" s="72"/>
      <c r="W171" s="72"/>
      <c r="X171" s="72"/>
      <c r="Y171" s="72"/>
      <c r="AA171" s="91"/>
      <c r="AB171" s="91"/>
      <c r="AC171" s="72"/>
      <c r="AD171" s="72"/>
      <c r="AE171" s="72"/>
      <c r="AF171" s="72"/>
      <c r="AG171" s="72"/>
      <c r="AH171" s="72"/>
      <c r="AI171" s="72"/>
    </row>
    <row r="172" spans="1:35" ht="13">
      <c r="A172" s="72"/>
      <c r="B172" s="72"/>
      <c r="C172" s="72"/>
      <c r="D172" s="72"/>
      <c r="E172" s="72"/>
      <c r="F172" s="72"/>
      <c r="G172" s="72"/>
      <c r="H172" s="106"/>
      <c r="I172" s="72"/>
      <c r="J172" s="72"/>
      <c r="K172" s="72"/>
      <c r="L172" s="72"/>
      <c r="M172" s="72"/>
      <c r="N172" s="72"/>
      <c r="O172" s="72"/>
      <c r="P172" s="72"/>
      <c r="Q172" s="72"/>
      <c r="R172" s="72"/>
      <c r="S172" s="72"/>
      <c r="T172" s="72"/>
      <c r="U172" s="72"/>
      <c r="V172" s="72"/>
      <c r="W172" s="72"/>
      <c r="X172" s="72"/>
      <c r="Y172" s="72"/>
      <c r="AA172" s="91"/>
      <c r="AB172" s="91"/>
      <c r="AC172" s="72"/>
      <c r="AD172" s="72"/>
      <c r="AE172" s="72"/>
      <c r="AF172" s="72"/>
      <c r="AG172" s="72"/>
      <c r="AH172" s="72"/>
      <c r="AI172" s="72"/>
    </row>
    <row r="173" spans="1:35" ht="13">
      <c r="A173" s="72"/>
      <c r="B173" s="72"/>
      <c r="C173" s="72"/>
      <c r="D173" s="72"/>
      <c r="E173" s="72"/>
      <c r="F173" s="72"/>
      <c r="H173" s="72"/>
      <c r="I173" s="72"/>
      <c r="J173" s="72"/>
      <c r="K173" s="72"/>
      <c r="L173" s="72"/>
      <c r="M173" s="72" t="s">
        <v>96</v>
      </c>
      <c r="N173" s="72"/>
      <c r="O173" s="72"/>
      <c r="P173" s="72"/>
      <c r="Q173" s="72"/>
      <c r="R173" s="72"/>
      <c r="S173" s="72"/>
      <c r="T173" s="72"/>
      <c r="U173" s="72"/>
      <c r="V173" s="72"/>
      <c r="W173" s="72"/>
      <c r="X173" s="72"/>
      <c r="Y173" s="72"/>
      <c r="AA173" s="91"/>
      <c r="AB173" s="91"/>
      <c r="AC173" s="72"/>
      <c r="AD173" s="72"/>
      <c r="AE173" s="72"/>
      <c r="AF173" s="72"/>
      <c r="AG173" s="72"/>
      <c r="AH173" s="72"/>
      <c r="AI173" s="72"/>
    </row>
    <row r="174" spans="1:35" ht="13">
      <c r="A174" s="72"/>
      <c r="B174" s="72"/>
      <c r="C174" s="74" t="s">
        <v>347</v>
      </c>
      <c r="D174" s="72"/>
      <c r="E174" s="74" t="s">
        <v>346</v>
      </c>
      <c r="F174" s="72"/>
      <c r="G174" s="72"/>
      <c r="H174" s="75" t="s">
        <v>310</v>
      </c>
      <c r="I174" s="75" t="s">
        <v>309</v>
      </c>
      <c r="J174" s="72"/>
      <c r="K174" s="72" t="s">
        <v>95</v>
      </c>
      <c r="L174" s="72"/>
      <c r="M174" s="72" t="s">
        <v>86</v>
      </c>
      <c r="N174" s="72" t="s">
        <v>67</v>
      </c>
      <c r="O174" s="72"/>
      <c r="P174" s="72"/>
      <c r="Q174" s="72"/>
      <c r="R174" s="72"/>
      <c r="S174" s="72"/>
      <c r="T174" s="72"/>
      <c r="U174" s="72"/>
      <c r="V174" s="72"/>
      <c r="W174" s="72"/>
      <c r="X174" s="72"/>
      <c r="Y174" s="72"/>
      <c r="AA174" s="91"/>
      <c r="AB174" s="91"/>
      <c r="AC174" s="72"/>
      <c r="AD174" s="72"/>
      <c r="AE174" s="72"/>
      <c r="AF174" s="72"/>
      <c r="AG174" s="72"/>
      <c r="AH174" s="72"/>
      <c r="AI174" s="72"/>
    </row>
    <row r="175" spans="1:35" ht="13">
      <c r="A175" s="72"/>
      <c r="B175" s="72"/>
      <c r="C175" s="114" t="s">
        <v>352</v>
      </c>
      <c r="D175" s="72"/>
      <c r="E175" s="72" t="s">
        <v>94</v>
      </c>
      <c r="F175" s="72"/>
      <c r="G175" s="72" t="s">
        <v>173</v>
      </c>
      <c r="H175" s="6">
        <f>IF(Z163=9,H166,+H159)</f>
        <v>0</v>
      </c>
      <c r="I175" s="14">
        <v>30</v>
      </c>
      <c r="J175" s="72" t="s">
        <v>85</v>
      </c>
      <c r="K175" s="4">
        <f>SUM(H175/100*I175)</f>
        <v>0</v>
      </c>
      <c r="L175" s="72"/>
      <c r="M175" s="8">
        <f>+K160</f>
        <v>50</v>
      </c>
      <c r="N175" s="141">
        <f>SUM(K175*M175)</f>
        <v>0</v>
      </c>
      <c r="O175" s="101" t="str">
        <f>+$H$18</f>
        <v>EUR</v>
      </c>
      <c r="P175" s="72"/>
      <c r="Q175" s="72"/>
      <c r="R175" s="72"/>
      <c r="S175" s="72"/>
      <c r="T175" s="72"/>
      <c r="U175" s="72"/>
      <c r="V175" s="72"/>
      <c r="W175" s="72"/>
      <c r="X175" s="72"/>
      <c r="Y175" s="72"/>
      <c r="AA175" s="91"/>
      <c r="AB175" s="91"/>
      <c r="AC175" s="72"/>
      <c r="AD175" s="72"/>
      <c r="AE175" s="72"/>
      <c r="AF175" s="72"/>
      <c r="AG175" s="72"/>
      <c r="AH175" s="72"/>
      <c r="AI175" s="72"/>
    </row>
    <row r="176" spans="1:35" ht="13">
      <c r="A176" s="72"/>
      <c r="B176" s="72"/>
      <c r="C176" s="114" t="s">
        <v>353</v>
      </c>
      <c r="D176" s="72"/>
      <c r="E176" s="72"/>
      <c r="F176" s="72"/>
      <c r="G176" s="72" t="s">
        <v>174</v>
      </c>
      <c r="H176" s="6">
        <f>+H160</f>
        <v>0</v>
      </c>
      <c r="I176" s="14">
        <v>30</v>
      </c>
      <c r="J176" s="72" t="s">
        <v>85</v>
      </c>
      <c r="K176" s="4">
        <f>SUM(H176/100*I176)</f>
        <v>0</v>
      </c>
      <c r="L176" s="72"/>
      <c r="M176" s="8">
        <f>+M175</f>
        <v>50</v>
      </c>
      <c r="N176" s="141">
        <f>SUM(K176*M176)</f>
        <v>0</v>
      </c>
      <c r="O176" s="101" t="str">
        <f>+$H$18</f>
        <v>EUR</v>
      </c>
      <c r="P176" s="75" t="s">
        <v>171</v>
      </c>
      <c r="Q176" s="75"/>
      <c r="R176" s="72"/>
      <c r="S176" s="72"/>
      <c r="T176" s="72"/>
      <c r="U176" s="72"/>
      <c r="V176" s="72"/>
      <c r="W176" s="72"/>
      <c r="X176" s="72"/>
      <c r="Y176" s="72"/>
      <c r="Z176" s="155" t="s">
        <v>304</v>
      </c>
      <c r="AA176" s="91"/>
      <c r="AB176" s="91"/>
      <c r="AC176" s="72"/>
      <c r="AD176" s="72"/>
      <c r="AE176" s="72"/>
      <c r="AF176" s="72"/>
      <c r="AG176" s="72"/>
      <c r="AH176" s="72"/>
      <c r="AI176" s="72"/>
    </row>
    <row r="177" spans="1:35" ht="13">
      <c r="A177" s="72"/>
      <c r="B177" s="72"/>
      <c r="C177" s="72"/>
      <c r="D177" s="72"/>
      <c r="E177" s="72"/>
      <c r="F177" s="72"/>
      <c r="G177" s="72" t="s">
        <v>27</v>
      </c>
      <c r="H177" s="106">
        <f>SUM(H175:H176)</f>
        <v>0</v>
      </c>
      <c r="I177" s="72"/>
      <c r="J177" s="72"/>
      <c r="K177" s="106">
        <f>SUM(K175:K176)</f>
        <v>0</v>
      </c>
      <c r="L177" s="72"/>
      <c r="M177" s="72"/>
      <c r="N177" s="106">
        <f>SUM(N175:N176)</f>
        <v>0</v>
      </c>
      <c r="O177" s="101" t="str">
        <f>+$H$18</f>
        <v>EUR</v>
      </c>
      <c r="P177" s="72"/>
      <c r="Q177" s="72"/>
      <c r="R177" s="72"/>
      <c r="S177" s="72"/>
      <c r="T177" s="72"/>
      <c r="U177" s="72"/>
      <c r="V177" s="72"/>
      <c r="W177" s="72"/>
      <c r="X177" s="72"/>
      <c r="Y177" s="72"/>
      <c r="Z177" s="164">
        <f>+U38</f>
        <v>1</v>
      </c>
      <c r="AA177" s="91"/>
      <c r="AB177" s="91"/>
      <c r="AC177" s="72"/>
      <c r="AD177" s="72"/>
      <c r="AE177" s="72"/>
      <c r="AF177" s="72"/>
      <c r="AG177" s="72"/>
      <c r="AH177" s="72"/>
      <c r="AI177" s="72"/>
    </row>
    <row r="178" spans="1:35" ht="13">
      <c r="A178" s="72"/>
      <c r="B178" s="72"/>
      <c r="C178" s="72"/>
      <c r="D178" s="72"/>
      <c r="E178" s="205" t="s">
        <v>312</v>
      </c>
      <c r="F178" s="72"/>
      <c r="H178" s="106"/>
      <c r="I178" s="72"/>
      <c r="J178" s="72"/>
      <c r="K178" s="106"/>
      <c r="L178" s="72"/>
      <c r="N178" s="72"/>
      <c r="O178" s="72"/>
      <c r="P178" s="72"/>
      <c r="Q178" s="72"/>
      <c r="R178" s="72"/>
      <c r="S178" s="72"/>
      <c r="T178" s="72"/>
      <c r="U178" s="72"/>
      <c r="V178" s="72"/>
      <c r="W178" s="72"/>
      <c r="X178" s="72"/>
      <c r="Y178" s="72"/>
      <c r="AA178" s="91"/>
      <c r="AB178" s="91"/>
      <c r="AC178" s="72"/>
      <c r="AD178" s="72"/>
      <c r="AE178" s="72"/>
      <c r="AF178" s="72"/>
      <c r="AG178" s="72"/>
      <c r="AH178" s="72"/>
      <c r="AI178" s="72"/>
    </row>
    <row r="179" spans="1:35" ht="13">
      <c r="A179" s="72"/>
      <c r="B179" s="72"/>
      <c r="C179" s="72"/>
      <c r="D179" s="72"/>
      <c r="E179" s="72"/>
      <c r="G179" s="205"/>
      <c r="H179" s="106"/>
      <c r="I179" s="72"/>
      <c r="J179" s="72"/>
      <c r="K179" s="106"/>
      <c r="L179" s="72"/>
      <c r="M179" s="72" t="s">
        <v>96</v>
      </c>
      <c r="N179" s="72"/>
      <c r="O179" s="72"/>
      <c r="P179" s="72"/>
      <c r="Q179" s="72"/>
      <c r="R179" s="72"/>
      <c r="S179" s="72"/>
      <c r="T179" s="72"/>
      <c r="U179" s="72"/>
      <c r="V179" s="72"/>
      <c r="W179" s="72"/>
      <c r="X179" s="72"/>
      <c r="Y179" s="72"/>
      <c r="AA179" s="91"/>
      <c r="AB179" s="91"/>
      <c r="AC179" s="72"/>
      <c r="AD179" s="72"/>
      <c r="AE179" s="72"/>
      <c r="AF179" s="72"/>
      <c r="AG179" s="72"/>
      <c r="AH179" s="72"/>
      <c r="AI179" s="72"/>
    </row>
    <row r="180" spans="1:35" ht="13">
      <c r="A180" s="72"/>
      <c r="B180" s="72"/>
      <c r="C180" s="72"/>
      <c r="D180" s="72"/>
      <c r="E180" s="74" t="s">
        <v>345</v>
      </c>
      <c r="F180" s="72"/>
      <c r="G180" s="72"/>
      <c r="H180" s="72"/>
      <c r="I180" s="72"/>
      <c r="J180" s="72"/>
      <c r="K180" s="72" t="s">
        <v>98</v>
      </c>
      <c r="L180" s="72"/>
      <c r="M180" s="72" t="s">
        <v>86</v>
      </c>
      <c r="N180" s="72" t="s">
        <v>67</v>
      </c>
      <c r="O180" s="72"/>
      <c r="P180" s="72"/>
      <c r="Q180" s="72"/>
      <c r="R180" s="72"/>
      <c r="S180" s="72"/>
      <c r="T180" s="72"/>
      <c r="U180" s="72"/>
      <c r="V180" s="72"/>
      <c r="W180" s="72"/>
      <c r="X180" s="72"/>
      <c r="Y180" s="75" t="s">
        <v>306</v>
      </c>
      <c r="Z180" s="153">
        <v>-1</v>
      </c>
      <c r="AA180" s="91"/>
      <c r="AB180" s="91"/>
      <c r="AC180" s="72"/>
      <c r="AD180" s="72"/>
      <c r="AE180" s="72"/>
      <c r="AF180" s="72"/>
      <c r="AG180" s="72"/>
      <c r="AH180" s="72"/>
      <c r="AI180" s="72"/>
    </row>
    <row r="181" spans="1:35" ht="13">
      <c r="A181" s="72"/>
      <c r="B181" s="75" t="s">
        <v>171</v>
      </c>
      <c r="C181" s="72"/>
      <c r="D181" s="72"/>
      <c r="E181" s="72" t="s">
        <v>97</v>
      </c>
      <c r="F181" s="72"/>
      <c r="G181" s="72"/>
      <c r="H181" s="72"/>
      <c r="I181" s="14">
        <v>40</v>
      </c>
      <c r="J181" s="72" t="s">
        <v>85</v>
      </c>
      <c r="K181" s="6">
        <f>SUM(K177/100*I181)</f>
        <v>0</v>
      </c>
      <c r="L181" s="72"/>
      <c r="M181" s="200">
        <f>+K158</f>
        <v>0</v>
      </c>
      <c r="N181" s="141">
        <f>SUM(K181*M181)</f>
        <v>0</v>
      </c>
      <c r="O181" s="101" t="str">
        <f>+$H$18</f>
        <v>EUR</v>
      </c>
      <c r="P181" s="72"/>
      <c r="Q181" s="72"/>
      <c r="R181" s="72"/>
      <c r="S181" s="72"/>
      <c r="T181" s="72"/>
      <c r="U181" s="72"/>
      <c r="V181" s="72"/>
      <c r="W181" s="72"/>
      <c r="X181" s="72"/>
      <c r="Y181" s="72"/>
      <c r="Z181" s="184">
        <f>IF(Z177=9,1*Z180,1)</f>
        <v>1</v>
      </c>
      <c r="AA181" s="91"/>
      <c r="AB181" s="91"/>
      <c r="AC181" s="72"/>
      <c r="AD181" s="72"/>
      <c r="AE181" s="72"/>
      <c r="AF181" s="72"/>
      <c r="AG181" s="72"/>
      <c r="AH181" s="72"/>
      <c r="AI181" s="72"/>
    </row>
    <row r="182" spans="1:35" ht="13">
      <c r="A182" s="72"/>
      <c r="B182" s="72"/>
      <c r="C182" s="72"/>
      <c r="D182" s="72"/>
      <c r="E182" s="72" t="s">
        <v>99</v>
      </c>
      <c r="F182" s="72"/>
      <c r="G182" s="72"/>
      <c r="H182" s="72"/>
      <c r="I182" s="8">
        <f>SUM(100-I181)</f>
        <v>60</v>
      </c>
      <c r="J182" s="72" t="s">
        <v>85</v>
      </c>
      <c r="K182" s="6">
        <f>SUM(K177-K181)</f>
        <v>0</v>
      </c>
      <c r="L182" s="72"/>
      <c r="M182" s="168">
        <f>+M176</f>
        <v>50</v>
      </c>
      <c r="N182" s="141">
        <f>SUM(K182*M182)</f>
        <v>0</v>
      </c>
      <c r="O182" s="101" t="str">
        <f>+$H$18</f>
        <v>EUR</v>
      </c>
      <c r="P182" s="72"/>
      <c r="Q182" s="72"/>
      <c r="R182" s="72"/>
      <c r="S182" s="72"/>
      <c r="T182" s="72"/>
      <c r="U182" s="72"/>
      <c r="V182" s="72"/>
      <c r="W182" s="72"/>
      <c r="X182" s="72"/>
      <c r="Y182" s="72"/>
      <c r="AA182" s="91"/>
      <c r="AB182" s="91"/>
      <c r="AC182" s="72"/>
      <c r="AD182" s="72"/>
      <c r="AE182" s="72"/>
      <c r="AF182" s="72"/>
      <c r="AG182" s="72"/>
      <c r="AH182" s="72"/>
      <c r="AI182" s="72"/>
    </row>
    <row r="183" spans="1:35" ht="13">
      <c r="A183" s="72"/>
      <c r="B183" s="72"/>
      <c r="C183" s="72"/>
      <c r="D183" s="72"/>
      <c r="E183" s="205" t="s">
        <v>311</v>
      </c>
      <c r="H183" s="72"/>
      <c r="I183" s="72"/>
      <c r="J183" s="72"/>
      <c r="K183" s="106">
        <f>K181+K182</f>
        <v>0</v>
      </c>
      <c r="L183" s="72"/>
      <c r="M183" s="72"/>
      <c r="N183" s="72"/>
      <c r="O183" s="101"/>
      <c r="P183" s="72"/>
      <c r="Q183" s="72"/>
      <c r="R183" s="72"/>
      <c r="S183" s="72"/>
      <c r="T183" s="72"/>
      <c r="U183" s="72"/>
      <c r="V183" s="72"/>
      <c r="W183" s="72"/>
      <c r="X183" s="72"/>
      <c r="Y183" s="72"/>
      <c r="AA183" s="91"/>
      <c r="AB183" s="91"/>
      <c r="AC183" s="72"/>
      <c r="AD183" s="72"/>
      <c r="AE183" s="72"/>
      <c r="AF183" s="72"/>
      <c r="AG183" s="72"/>
      <c r="AH183" s="72"/>
      <c r="AI183" s="72"/>
    </row>
    <row r="184" spans="1:35" ht="13">
      <c r="A184" s="72"/>
      <c r="B184" s="72"/>
      <c r="C184" s="72"/>
      <c r="D184" s="72"/>
      <c r="E184" s="72"/>
      <c r="F184" s="72"/>
      <c r="G184" s="72"/>
      <c r="H184" s="72"/>
      <c r="I184" s="72"/>
      <c r="J184" s="72"/>
      <c r="L184" s="72"/>
      <c r="M184" s="72"/>
      <c r="N184" s="72"/>
      <c r="O184" s="72"/>
      <c r="P184" s="72"/>
      <c r="Q184" s="72"/>
      <c r="R184" s="72"/>
      <c r="S184" s="72"/>
      <c r="T184" s="72"/>
      <c r="U184" s="72"/>
      <c r="V184" s="72"/>
      <c r="W184" s="72"/>
      <c r="X184" s="72"/>
      <c r="Y184" s="72"/>
      <c r="AA184" s="91"/>
      <c r="AB184" s="91"/>
      <c r="AC184" s="72"/>
      <c r="AD184" s="72"/>
      <c r="AE184" s="72"/>
      <c r="AF184" s="72"/>
      <c r="AG184" s="72"/>
      <c r="AH184" s="72"/>
      <c r="AI184" s="72"/>
    </row>
    <row r="185" spans="1:35" ht="13.5" thickBot="1">
      <c r="A185" s="72"/>
      <c r="B185" s="72"/>
      <c r="C185" s="72"/>
      <c r="D185" s="72"/>
      <c r="E185" s="72"/>
      <c r="F185" s="74"/>
      <c r="G185" s="74"/>
      <c r="H185" s="72"/>
      <c r="I185" s="72"/>
      <c r="J185" s="72"/>
      <c r="K185" s="72"/>
      <c r="L185" s="72"/>
      <c r="M185" s="243" t="s">
        <v>360</v>
      </c>
      <c r="N185" s="139">
        <f>SUM(N177-N182)*Z181</f>
        <v>0</v>
      </c>
      <c r="O185" s="88" t="str">
        <f>$H$18&amp;" added to Total Savings"</f>
        <v>EUR added to Total Savings</v>
      </c>
      <c r="P185" s="70"/>
      <c r="Q185" s="70"/>
      <c r="R185" s="89"/>
      <c r="S185" s="89"/>
      <c r="T185" s="89"/>
      <c r="U185" s="89"/>
      <c r="V185" s="89"/>
      <c r="W185" s="89"/>
      <c r="X185" s="89"/>
      <c r="Y185" s="89"/>
      <c r="Z185" s="157"/>
      <c r="AA185" s="132"/>
      <c r="AB185" s="132"/>
      <c r="AC185" s="89"/>
      <c r="AD185" s="72"/>
      <c r="AE185" s="72"/>
      <c r="AF185" s="72"/>
      <c r="AG185" s="72"/>
      <c r="AH185" s="72"/>
      <c r="AI185" s="72"/>
    </row>
    <row r="186" spans="1:35" ht="13.5" thickTop="1">
      <c r="A186" s="72"/>
      <c r="B186" s="72"/>
      <c r="C186" s="72"/>
      <c r="D186" s="72"/>
      <c r="E186" s="72"/>
      <c r="F186" s="72"/>
      <c r="H186" s="72"/>
      <c r="I186" s="72"/>
      <c r="J186" s="72"/>
      <c r="K186" s="72"/>
      <c r="L186" s="72"/>
      <c r="M186" s="72"/>
      <c r="N186" s="72"/>
      <c r="O186" s="72"/>
      <c r="P186" s="72"/>
      <c r="Q186" s="72"/>
      <c r="R186" s="72"/>
      <c r="S186" s="72"/>
      <c r="T186" s="72"/>
      <c r="U186" s="72"/>
      <c r="V186" s="72"/>
      <c r="W186" s="72"/>
      <c r="X186" s="72"/>
      <c r="Y186" s="72"/>
      <c r="AA186" s="91"/>
      <c r="AB186" s="91"/>
      <c r="AC186" s="72"/>
      <c r="AD186" s="72"/>
      <c r="AE186" s="72"/>
      <c r="AF186" s="72"/>
      <c r="AG186" s="72"/>
      <c r="AH186" s="72"/>
      <c r="AI186" s="72"/>
    </row>
    <row r="187" spans="1:35" ht="13">
      <c r="A187" s="72"/>
      <c r="B187" s="72"/>
      <c r="C187" s="185"/>
      <c r="D187" s="72"/>
      <c r="E187" s="72"/>
      <c r="F187" s="72"/>
      <c r="G187" s="206" t="str">
        <f>IF(Z$190="yes","Note - Break Down HOTEL model used"," ")</f>
        <v xml:space="preserve"> </v>
      </c>
      <c r="H187" s="72"/>
      <c r="I187" s="72"/>
      <c r="J187" s="72"/>
      <c r="K187" s="72"/>
      <c r="L187" s="72"/>
      <c r="M187" s="72"/>
      <c r="N187" s="72"/>
      <c r="O187" s="72"/>
      <c r="P187" s="72"/>
      <c r="Q187" s="72"/>
      <c r="R187" s="72"/>
      <c r="S187" s="72"/>
      <c r="T187" s="72"/>
      <c r="U187" s="72"/>
      <c r="V187" s="72"/>
      <c r="W187" s="72"/>
      <c r="X187" s="72"/>
      <c r="Y187" s="74" t="s">
        <v>35</v>
      </c>
      <c r="AA187" s="91"/>
      <c r="AB187" s="91"/>
      <c r="AC187" s="72"/>
      <c r="AD187" s="72"/>
      <c r="AE187" s="72"/>
      <c r="AF187" s="72"/>
      <c r="AG187" s="72"/>
      <c r="AH187" s="72"/>
      <c r="AI187" s="72"/>
    </row>
    <row r="188" spans="1:35" ht="13">
      <c r="A188" s="72"/>
      <c r="B188" s="72"/>
      <c r="C188" s="74" t="s">
        <v>336</v>
      </c>
      <c r="D188" s="72"/>
      <c r="E188" s="74" t="s">
        <v>87</v>
      </c>
      <c r="F188" s="105"/>
      <c r="G188" s="206" t="str">
        <f>IF(Z$190="no","Note - Basic hotel model used"," ")</f>
        <v>Note - Basic hotel model used</v>
      </c>
      <c r="H188" s="72"/>
      <c r="I188" s="72"/>
      <c r="J188" s="72"/>
      <c r="K188" s="214" t="s">
        <v>329</v>
      </c>
      <c r="L188" s="72"/>
      <c r="M188" s="72"/>
      <c r="N188" s="72"/>
      <c r="O188" s="72"/>
      <c r="P188" s="72"/>
      <c r="Q188" s="72"/>
      <c r="R188" s="72"/>
      <c r="S188" s="72"/>
      <c r="T188" s="72"/>
      <c r="U188" s="72"/>
      <c r="V188" s="72"/>
      <c r="W188" s="72"/>
      <c r="X188" s="72"/>
      <c r="Y188" s="72"/>
      <c r="Z188" s="155" t="s">
        <v>296</v>
      </c>
      <c r="AA188" s="91"/>
      <c r="AB188" s="91"/>
      <c r="AC188" s="72"/>
      <c r="AD188" s="72"/>
      <c r="AE188" s="72"/>
      <c r="AF188" s="72"/>
      <c r="AG188" s="72"/>
      <c r="AH188" s="72"/>
      <c r="AI188" s="72"/>
    </row>
    <row r="189" spans="1:35" ht="13">
      <c r="A189" s="72"/>
      <c r="B189" s="72"/>
      <c r="C189" s="114" t="str">
        <f>IF(Z$190="no","All hotel bookings","Hotels with agreement")</f>
        <v>All hotel bookings</v>
      </c>
      <c r="D189" s="72"/>
      <c r="E189" s="72"/>
      <c r="F189" s="105"/>
      <c r="G189" s="99" t="s">
        <v>175</v>
      </c>
      <c r="H189" s="99" t="s">
        <v>14</v>
      </c>
      <c r="I189" s="72"/>
      <c r="J189" s="72"/>
      <c r="K189" s="75" t="s">
        <v>293</v>
      </c>
      <c r="L189" s="72"/>
      <c r="M189" s="105" t="s">
        <v>69</v>
      </c>
      <c r="N189" s="72"/>
      <c r="O189" s="72"/>
      <c r="P189" s="72"/>
      <c r="Q189" s="72"/>
      <c r="R189" s="72"/>
      <c r="S189" s="72"/>
      <c r="T189" s="72"/>
      <c r="U189" s="72"/>
      <c r="V189" s="72"/>
      <c r="W189" s="72"/>
      <c r="X189" s="72"/>
      <c r="Y189" s="72"/>
      <c r="Z189" s="184" t="str">
        <f>+G62</f>
        <v>No</v>
      </c>
      <c r="AA189" s="91"/>
      <c r="AB189" s="91"/>
      <c r="AC189" s="72"/>
      <c r="AD189" s="72"/>
      <c r="AE189" s="72"/>
      <c r="AF189" s="72"/>
      <c r="AG189" s="72"/>
      <c r="AH189" s="72"/>
      <c r="AI189" s="72"/>
    </row>
    <row r="190" spans="1:35" ht="13">
      <c r="A190" s="72"/>
      <c r="B190" s="72"/>
      <c r="C190" s="165"/>
      <c r="D190" s="72"/>
      <c r="E190" s="105" t="s">
        <v>119</v>
      </c>
      <c r="F190" s="105"/>
      <c r="G190" s="6">
        <f>IF(Z$190="no",0,+T75)</f>
        <v>0</v>
      </c>
      <c r="H190" s="6">
        <f>IF(Z190="no",0,+N75)</f>
        <v>0</v>
      </c>
      <c r="I190" s="72"/>
      <c r="J190" s="72"/>
      <c r="K190" s="8">
        <f>+K158</f>
        <v>0</v>
      </c>
      <c r="L190" s="72"/>
      <c r="M190" s="6">
        <f>SUM(H190*K190)</f>
        <v>0</v>
      </c>
      <c r="N190" s="101" t="str">
        <f>+$H$18</f>
        <v>EUR</v>
      </c>
      <c r="O190" s="72"/>
      <c r="P190" s="72"/>
      <c r="Q190" s="72"/>
      <c r="R190" s="72"/>
      <c r="S190" s="72"/>
      <c r="T190" s="72"/>
      <c r="U190" s="72"/>
      <c r="V190" s="72"/>
      <c r="W190" s="72"/>
      <c r="X190" s="72"/>
      <c r="Y190" s="72"/>
      <c r="Z190" s="165" t="str">
        <f>+Z189</f>
        <v>No</v>
      </c>
      <c r="AB190" s="91"/>
      <c r="AC190" s="72"/>
      <c r="AD190" s="72"/>
      <c r="AE190" s="72"/>
      <c r="AF190" s="72"/>
      <c r="AG190" s="72"/>
      <c r="AH190" s="72"/>
      <c r="AI190" s="72"/>
    </row>
    <row r="191" spans="1:35" ht="13">
      <c r="A191" s="72"/>
      <c r="B191" s="72"/>
      <c r="C191" s="72"/>
      <c r="D191" s="72"/>
      <c r="E191" s="75" t="s">
        <v>224</v>
      </c>
      <c r="F191" s="117"/>
      <c r="G191" s="6">
        <f>IF(Z190="no",H114,T76)</f>
        <v>50</v>
      </c>
      <c r="H191" s="36">
        <f>IF(Z190="no",I114,N76)</f>
        <v>0</v>
      </c>
      <c r="I191" s="72"/>
      <c r="J191" s="72"/>
      <c r="K191" s="8">
        <f>+K159</f>
        <v>10</v>
      </c>
      <c r="L191" s="72"/>
      <c r="M191" s="140">
        <f>SUM(H191*K191)</f>
        <v>0</v>
      </c>
      <c r="N191" s="101" t="str">
        <f>+$H$18</f>
        <v>EUR</v>
      </c>
      <c r="O191" s="72"/>
      <c r="P191" s="72"/>
      <c r="Q191" s="72"/>
      <c r="R191" s="72"/>
      <c r="S191" s="72"/>
      <c r="T191" s="72"/>
      <c r="U191" s="72"/>
      <c r="V191" s="72"/>
      <c r="W191" s="72"/>
      <c r="X191" s="72"/>
      <c r="Y191" s="72"/>
      <c r="AB191" s="91"/>
      <c r="AC191" s="72"/>
      <c r="AD191" s="72"/>
      <c r="AE191" s="72"/>
      <c r="AF191" s="72"/>
      <c r="AG191" s="72"/>
      <c r="AH191" s="72"/>
      <c r="AI191" s="72"/>
    </row>
    <row r="192" spans="1:35" ht="13">
      <c r="A192" s="72"/>
      <c r="B192" s="72"/>
      <c r="C192" s="72"/>
      <c r="D192" s="72"/>
      <c r="E192" s="75" t="s">
        <v>225</v>
      </c>
      <c r="F192" s="72"/>
      <c r="G192" s="6">
        <f>IF(Z190="no",SUM(100-G191),T77)</f>
        <v>50</v>
      </c>
      <c r="H192" s="36">
        <f>IF(Z190="no",G114-I114,N77)</f>
        <v>0</v>
      </c>
      <c r="I192" s="72"/>
      <c r="J192" s="72"/>
      <c r="K192" s="8">
        <f>+K160</f>
        <v>50</v>
      </c>
      <c r="L192" s="72"/>
      <c r="M192" s="140">
        <f>SUM(H192*K192)</f>
        <v>0</v>
      </c>
      <c r="N192" s="101" t="str">
        <f>+$H$18</f>
        <v>EUR</v>
      </c>
      <c r="O192" s="72"/>
      <c r="P192" s="72"/>
      <c r="Q192" s="72"/>
      <c r="R192" s="72"/>
      <c r="S192" s="72"/>
      <c r="T192" s="72"/>
      <c r="U192" s="72"/>
      <c r="V192" s="72"/>
      <c r="W192" s="72"/>
      <c r="X192" s="177" t="s">
        <v>331</v>
      </c>
      <c r="Y192" s="75" t="s">
        <v>330</v>
      </c>
      <c r="AA192" s="91" t="s">
        <v>305</v>
      </c>
      <c r="AB192" s="91"/>
      <c r="AC192" s="72"/>
      <c r="AD192" s="72"/>
      <c r="AE192" s="72"/>
      <c r="AF192" s="72"/>
      <c r="AG192" s="72"/>
      <c r="AH192" s="72"/>
      <c r="AI192" s="72"/>
    </row>
    <row r="193" spans="1:35" ht="13">
      <c r="A193" s="72"/>
      <c r="B193" s="72"/>
      <c r="C193" s="72"/>
      <c r="D193" s="72"/>
      <c r="E193" s="72"/>
      <c r="F193" s="72"/>
      <c r="G193" s="106">
        <f>SUM(G190:G192)</f>
        <v>100</v>
      </c>
      <c r="H193" s="106">
        <f>SUM(H190:H192)</f>
        <v>0</v>
      </c>
      <c r="I193" s="72"/>
      <c r="J193" s="72"/>
      <c r="K193" s="72"/>
      <c r="L193" s="72"/>
      <c r="M193" s="106">
        <f>SUM(M190:M192)</f>
        <v>0</v>
      </c>
      <c r="N193" s="101" t="str">
        <f>+$H$18</f>
        <v>EUR</v>
      </c>
      <c r="O193" s="72"/>
      <c r="P193" s="72"/>
      <c r="Q193" s="72"/>
      <c r="R193" s="72"/>
      <c r="S193" s="72"/>
      <c r="T193" s="72"/>
      <c r="U193" s="72"/>
      <c r="V193" s="72"/>
      <c r="W193" s="72"/>
      <c r="X193" s="72"/>
      <c r="Y193" s="75" t="s">
        <v>304</v>
      </c>
      <c r="Z193" s="215">
        <f>+U38</f>
        <v>1</v>
      </c>
      <c r="AA193" s="91">
        <f>IF(Z193=9,K191*-1,K192-K191)</f>
        <v>40</v>
      </c>
      <c r="AB193" s="91"/>
      <c r="AC193" s="72"/>
      <c r="AD193" s="75" t="s">
        <v>171</v>
      </c>
      <c r="AE193" s="72"/>
      <c r="AF193" s="72"/>
      <c r="AG193" s="72"/>
      <c r="AH193" s="72"/>
      <c r="AI193" s="72"/>
    </row>
    <row r="194" spans="1:35" ht="13">
      <c r="A194" s="72"/>
      <c r="B194" s="72"/>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AA194" s="91"/>
      <c r="AB194" s="91"/>
      <c r="AC194" s="72"/>
      <c r="AD194" s="72"/>
      <c r="AE194" s="72"/>
      <c r="AF194" s="72"/>
      <c r="AG194" s="72"/>
      <c r="AH194" s="72"/>
      <c r="AI194" s="72"/>
    </row>
    <row r="195" spans="1:35" ht="13">
      <c r="A195" s="72"/>
      <c r="B195" s="72"/>
      <c r="C195" s="72"/>
      <c r="D195" s="72"/>
      <c r="E195" s="74" t="s">
        <v>345</v>
      </c>
      <c r="F195" s="72"/>
      <c r="G195" s="72"/>
      <c r="H195" s="72"/>
      <c r="I195" s="72"/>
      <c r="J195" s="72"/>
      <c r="K195" s="219" t="s">
        <v>328</v>
      </c>
      <c r="L195" s="72"/>
      <c r="M195" s="72"/>
      <c r="N195" s="72"/>
      <c r="O195" s="72"/>
      <c r="P195" s="72"/>
      <c r="Q195" s="72"/>
      <c r="R195" s="72"/>
      <c r="S195" s="72"/>
      <c r="T195" s="72"/>
      <c r="U195" s="72"/>
      <c r="V195" s="72"/>
      <c r="W195" s="72"/>
      <c r="X195" s="72"/>
      <c r="Y195" s="155" t="s">
        <v>303</v>
      </c>
      <c r="AA195" s="202">
        <f>ROUND((SUM(H198-H197)),0)</f>
        <v>0</v>
      </c>
      <c r="AB195" s="91"/>
      <c r="AC195" s="72"/>
      <c r="AD195" s="72"/>
      <c r="AE195" s="72"/>
      <c r="AF195" s="72"/>
      <c r="AG195" s="72"/>
      <c r="AH195" s="72"/>
      <c r="AI195" s="72"/>
    </row>
    <row r="196" spans="1:35" ht="13">
      <c r="A196" s="72"/>
      <c r="B196" s="72"/>
      <c r="C196" s="72"/>
      <c r="D196" s="72"/>
      <c r="E196" s="72"/>
      <c r="F196" s="72"/>
      <c r="G196" s="99"/>
      <c r="H196" s="99" t="s">
        <v>14</v>
      </c>
      <c r="I196" s="72"/>
      <c r="J196" s="72"/>
      <c r="K196" s="219" t="s">
        <v>293</v>
      </c>
      <c r="L196" s="72"/>
      <c r="M196" s="105" t="s">
        <v>69</v>
      </c>
      <c r="N196" s="72"/>
      <c r="O196" s="72"/>
      <c r="P196" s="72"/>
      <c r="Q196" s="72"/>
      <c r="R196" s="72"/>
      <c r="S196" s="72"/>
      <c r="T196" s="72"/>
      <c r="U196" s="72"/>
      <c r="V196" s="72"/>
      <c r="W196" s="72"/>
      <c r="X196" s="72"/>
      <c r="Y196" s="75" t="s">
        <v>300</v>
      </c>
      <c r="AA196" s="203">
        <f>+AA193</f>
        <v>40</v>
      </c>
      <c r="AB196" s="91"/>
      <c r="AC196" s="72"/>
      <c r="AD196" s="72"/>
      <c r="AE196" s="75" t="s">
        <v>171</v>
      </c>
      <c r="AF196" s="72"/>
      <c r="AG196" s="72"/>
      <c r="AH196" s="72"/>
      <c r="AI196" s="72"/>
    </row>
    <row r="197" spans="1:35" ht="13">
      <c r="A197" s="72"/>
      <c r="B197" s="72"/>
      <c r="D197" s="72"/>
      <c r="E197" s="105" t="s">
        <v>119</v>
      </c>
      <c r="F197" s="72"/>
      <c r="G197" s="217">
        <v>5</v>
      </c>
      <c r="H197" s="6">
        <f>SUM(H$193/100*G197)</f>
        <v>0</v>
      </c>
      <c r="I197" s="72"/>
      <c r="J197" s="72"/>
      <c r="K197" s="8">
        <f>+K190</f>
        <v>0</v>
      </c>
      <c r="L197" s="72"/>
      <c r="M197" s="140">
        <f>SUM(H197*K197)</f>
        <v>0</v>
      </c>
      <c r="N197" s="101" t="str">
        <f>+$H$18</f>
        <v>EUR</v>
      </c>
      <c r="O197" s="72"/>
      <c r="P197" s="72"/>
      <c r="Q197" s="72"/>
      <c r="R197" s="72"/>
      <c r="S197" s="72"/>
      <c r="T197" s="72"/>
      <c r="U197" s="72"/>
      <c r="V197" s="72"/>
      <c r="W197" s="72"/>
      <c r="X197" s="72"/>
      <c r="Y197" s="75" t="s">
        <v>301</v>
      </c>
      <c r="AA197" s="203">
        <f>SUM(AA195*AA196)</f>
        <v>0</v>
      </c>
      <c r="AB197" s="91"/>
      <c r="AC197" s="72"/>
      <c r="AD197" s="72"/>
      <c r="AE197" s="72"/>
      <c r="AF197" s="72"/>
      <c r="AG197" s="72"/>
      <c r="AH197" s="72"/>
      <c r="AI197" s="72"/>
    </row>
    <row r="198" spans="1:35" ht="13">
      <c r="A198" s="72"/>
      <c r="B198" s="72"/>
      <c r="C198" s="72"/>
      <c r="D198" s="72"/>
      <c r="E198" s="75" t="s">
        <v>224</v>
      </c>
      <c r="G198" s="43">
        <v>90</v>
      </c>
      <c r="H198" s="6">
        <f t="shared" ref="H198:H199" si="35">SUM(H$193/100*G198)</f>
        <v>0</v>
      </c>
      <c r="I198" s="72"/>
      <c r="J198" s="72"/>
      <c r="K198" s="8">
        <f>HLOOKUP(N198,$AC$160:$AH$168,AB165,FALSE)</f>
        <v>7</v>
      </c>
      <c r="L198" s="72"/>
      <c r="M198" s="140">
        <f>SUM(H198*K198)</f>
        <v>0</v>
      </c>
      <c r="N198" s="101" t="str">
        <f>+$H$18</f>
        <v>EUR</v>
      </c>
      <c r="O198" s="216"/>
      <c r="P198" s="72"/>
      <c r="Q198" s="72"/>
      <c r="R198" s="72"/>
      <c r="S198" s="72"/>
      <c r="T198" s="72"/>
      <c r="U198" s="72"/>
      <c r="V198" s="72"/>
      <c r="W198" s="72"/>
      <c r="X198" s="177" t="s">
        <v>331</v>
      </c>
      <c r="Y198" s="72"/>
      <c r="AA198" s="91"/>
      <c r="AB198" s="91"/>
      <c r="AC198" s="72"/>
      <c r="AD198" s="72"/>
      <c r="AE198" s="72"/>
      <c r="AF198" s="72"/>
      <c r="AG198" s="72"/>
      <c r="AH198" s="72"/>
      <c r="AI198" s="72"/>
    </row>
    <row r="199" spans="1:35" ht="13">
      <c r="A199" s="72"/>
      <c r="B199" s="72"/>
      <c r="C199" s="72"/>
      <c r="D199" s="72"/>
      <c r="E199" s="75" t="s">
        <v>225</v>
      </c>
      <c r="G199" s="218">
        <f>SUM(100-(G197+G198))</f>
        <v>5</v>
      </c>
      <c r="H199" s="6">
        <f t="shared" si="35"/>
        <v>0</v>
      </c>
      <c r="I199" s="72"/>
      <c r="J199" s="72"/>
      <c r="K199" s="8">
        <f>HLOOKUP(N199,$AC$160:$AH$168,AB166,FALSE)</f>
        <v>14</v>
      </c>
      <c r="L199" s="72"/>
      <c r="M199" s="140">
        <f>SUM(H199*K199)</f>
        <v>0</v>
      </c>
      <c r="N199" s="101" t="str">
        <f>+$H$18</f>
        <v>EUR</v>
      </c>
      <c r="O199" s="216"/>
      <c r="P199" s="72"/>
      <c r="Q199" s="72"/>
      <c r="R199" s="72"/>
      <c r="S199" s="72"/>
      <c r="T199" s="72"/>
      <c r="U199" s="72"/>
      <c r="V199" s="72"/>
      <c r="W199" s="72"/>
      <c r="X199" s="72"/>
      <c r="Y199" s="72"/>
      <c r="AA199" s="91"/>
      <c r="AB199" s="91"/>
      <c r="AC199" s="72"/>
      <c r="AD199" s="72"/>
      <c r="AE199" s="72"/>
      <c r="AF199" s="72"/>
      <c r="AG199" s="72"/>
      <c r="AH199" s="72"/>
      <c r="AI199" s="72"/>
    </row>
    <row r="200" spans="1:35" ht="13">
      <c r="A200" s="72"/>
      <c r="B200" s="72"/>
      <c r="C200" s="72"/>
      <c r="D200" s="72"/>
      <c r="E200" s="72"/>
      <c r="F200" s="74"/>
      <c r="G200" s="106">
        <f>SUM(G197:G199)</f>
        <v>100</v>
      </c>
      <c r="H200" s="106">
        <f>SUM(H197:H199)</f>
        <v>0</v>
      </c>
      <c r="I200" s="72"/>
      <c r="J200" s="72"/>
      <c r="K200" s="72"/>
      <c r="L200" s="72"/>
      <c r="M200" s="102">
        <f>SUM(M197:M199)</f>
        <v>0</v>
      </c>
      <c r="N200" s="101" t="str">
        <f>+$H$18</f>
        <v>EUR</v>
      </c>
      <c r="O200" s="72"/>
      <c r="P200" s="72"/>
      <c r="Q200" s="72"/>
      <c r="R200" s="72"/>
      <c r="S200" s="72"/>
      <c r="T200" s="72"/>
      <c r="U200" s="72"/>
      <c r="V200" s="72"/>
      <c r="W200" s="72"/>
      <c r="X200" s="72"/>
      <c r="Y200" s="72"/>
      <c r="AA200" s="91"/>
      <c r="AB200" s="91"/>
      <c r="AC200" s="72"/>
      <c r="AD200" s="72"/>
      <c r="AE200" s="72"/>
      <c r="AF200" s="72"/>
      <c r="AG200" s="72"/>
      <c r="AH200" s="72"/>
      <c r="AI200" s="72"/>
    </row>
    <row r="201" spans="1:35" ht="13">
      <c r="A201" s="72"/>
      <c r="B201" s="72"/>
      <c r="C201" s="72"/>
      <c r="D201" s="72"/>
      <c r="E201" s="72"/>
      <c r="F201" s="74"/>
      <c r="G201" s="72"/>
      <c r="H201" s="72"/>
      <c r="I201" s="72"/>
      <c r="J201" s="72"/>
      <c r="K201" s="72"/>
      <c r="L201" s="72"/>
      <c r="M201" s="72"/>
      <c r="N201" s="72"/>
      <c r="O201" s="72"/>
      <c r="P201" s="72"/>
      <c r="Q201" s="72"/>
      <c r="R201" s="72"/>
      <c r="S201" s="72"/>
      <c r="T201" s="72"/>
      <c r="U201" s="72"/>
      <c r="V201" s="72"/>
      <c r="W201" s="72"/>
      <c r="X201" s="72"/>
      <c r="Y201" s="72"/>
      <c r="AA201" s="91"/>
      <c r="AB201" s="91"/>
      <c r="AC201" s="72"/>
      <c r="AD201" s="72"/>
      <c r="AE201" s="72"/>
      <c r="AF201" s="75" t="s">
        <v>171</v>
      </c>
      <c r="AG201" s="72"/>
      <c r="AH201" s="72"/>
      <c r="AI201" s="72"/>
    </row>
    <row r="202" spans="1:35" ht="13">
      <c r="A202" s="72"/>
      <c r="B202" s="72"/>
      <c r="C202" s="72"/>
      <c r="D202" s="72"/>
      <c r="E202" s="72"/>
      <c r="F202" s="72"/>
      <c r="G202" s="72"/>
      <c r="H202" s="72"/>
      <c r="I202" s="72"/>
      <c r="J202" s="72"/>
      <c r="K202" s="72"/>
      <c r="L202" s="72"/>
      <c r="M202" s="72"/>
      <c r="N202" s="72"/>
      <c r="O202" s="72"/>
      <c r="P202" s="72"/>
      <c r="Q202" s="72"/>
      <c r="R202" s="72"/>
      <c r="S202" s="72"/>
      <c r="T202" s="72"/>
      <c r="U202" s="72"/>
      <c r="V202" s="72"/>
      <c r="W202" s="72"/>
      <c r="X202" s="72"/>
      <c r="Y202" s="72"/>
      <c r="AA202" s="91"/>
      <c r="AB202" s="91"/>
      <c r="AC202" s="72"/>
      <c r="AD202" s="72"/>
      <c r="AE202" s="72"/>
      <c r="AF202" s="72"/>
      <c r="AG202" s="72"/>
      <c r="AH202" s="72"/>
      <c r="AI202" s="72"/>
    </row>
    <row r="203" spans="1:35" ht="13" hidden="1">
      <c r="A203" s="72"/>
      <c r="B203" s="72"/>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AA203" s="91"/>
      <c r="AB203" s="91"/>
      <c r="AC203" s="72"/>
      <c r="AD203" s="72"/>
      <c r="AE203" s="72"/>
      <c r="AF203" s="72"/>
      <c r="AG203" s="72"/>
      <c r="AH203" s="72"/>
      <c r="AI203" s="72"/>
    </row>
    <row r="204" spans="1:35" ht="13" hidden="1">
      <c r="A204" s="72"/>
      <c r="B204" s="72"/>
      <c r="D204" s="72"/>
      <c r="E204" s="72"/>
      <c r="F204" s="72"/>
      <c r="G204" s="72"/>
      <c r="H204" s="72"/>
      <c r="I204" s="72"/>
      <c r="J204" s="72"/>
      <c r="K204" s="72"/>
      <c r="L204" s="72"/>
      <c r="M204" s="72"/>
      <c r="N204" s="72"/>
      <c r="O204" s="72"/>
      <c r="P204" s="72"/>
      <c r="Q204" s="72"/>
      <c r="R204" s="72"/>
      <c r="S204" s="72"/>
      <c r="T204" s="72"/>
      <c r="U204" s="72"/>
      <c r="V204" s="105"/>
      <c r="W204" s="106"/>
      <c r="X204" s="72"/>
      <c r="Y204" s="72"/>
      <c r="AA204" s="91"/>
      <c r="AB204" s="91"/>
      <c r="AC204" s="72"/>
      <c r="AD204" s="72"/>
      <c r="AE204" s="72"/>
      <c r="AF204" s="72"/>
      <c r="AG204" s="72"/>
      <c r="AH204" s="72"/>
      <c r="AI204" s="72"/>
    </row>
    <row r="205" spans="1:35" ht="13" hidden="1">
      <c r="A205" s="72"/>
      <c r="B205" s="72"/>
      <c r="C205" s="72"/>
      <c r="D205" s="72"/>
      <c r="E205" s="72"/>
      <c r="F205" s="72"/>
      <c r="G205" s="72"/>
      <c r="H205" s="72"/>
      <c r="I205" s="72"/>
      <c r="J205" s="72"/>
      <c r="K205" s="72"/>
      <c r="L205" s="72"/>
      <c r="M205" s="72"/>
      <c r="N205" s="72"/>
      <c r="O205" s="72"/>
      <c r="P205" s="72"/>
      <c r="Q205" s="72"/>
      <c r="R205" s="72"/>
      <c r="S205" s="72"/>
      <c r="T205" s="72"/>
      <c r="U205" s="72"/>
      <c r="V205" s="105"/>
      <c r="W205" s="106"/>
      <c r="X205" s="72"/>
      <c r="Y205" s="72"/>
      <c r="AA205" s="91"/>
      <c r="AB205" s="91"/>
      <c r="AC205" s="72"/>
      <c r="AD205" s="72"/>
      <c r="AE205" s="72"/>
      <c r="AF205" s="72"/>
      <c r="AG205" s="72"/>
      <c r="AH205" s="72"/>
      <c r="AI205" s="72"/>
    </row>
    <row r="206" spans="1:35" ht="13" hidden="1">
      <c r="A206" s="72"/>
      <c r="B206" s="72"/>
      <c r="C206" s="72"/>
      <c r="D206" s="72"/>
      <c r="E206" s="72"/>
      <c r="F206" s="72"/>
      <c r="G206" s="72"/>
      <c r="H206" s="72"/>
      <c r="I206" s="72"/>
      <c r="J206" s="72"/>
      <c r="K206" s="72"/>
      <c r="L206" s="72"/>
      <c r="M206" s="72"/>
      <c r="N206" s="72"/>
      <c r="O206" s="72"/>
      <c r="P206" s="72"/>
      <c r="Q206" s="72"/>
      <c r="R206" s="72"/>
      <c r="S206" s="72"/>
      <c r="T206" s="72"/>
      <c r="U206" s="72"/>
      <c r="V206" s="72"/>
      <c r="W206" s="72"/>
      <c r="X206" s="72"/>
      <c r="Y206" s="72"/>
      <c r="AA206" s="91"/>
      <c r="AB206" s="91"/>
      <c r="AC206" s="72"/>
      <c r="AD206" s="72"/>
      <c r="AE206" s="72"/>
      <c r="AF206" s="72"/>
      <c r="AG206" s="72"/>
      <c r="AH206" s="72"/>
      <c r="AI206" s="72"/>
    </row>
    <row r="207" spans="1:35" ht="13" hidden="1">
      <c r="A207" s="72"/>
      <c r="B207" s="72"/>
      <c r="C207" s="72"/>
      <c r="D207" s="72"/>
      <c r="E207" s="72"/>
      <c r="F207" s="74"/>
      <c r="G207" s="72"/>
      <c r="H207" s="72"/>
      <c r="I207" s="72"/>
      <c r="J207" s="72"/>
      <c r="K207" s="72"/>
      <c r="L207" s="72"/>
      <c r="M207" s="106"/>
      <c r="N207" s="72"/>
      <c r="O207" s="72"/>
      <c r="P207" s="72"/>
      <c r="Q207" s="72"/>
      <c r="R207" s="72"/>
      <c r="S207" s="72"/>
      <c r="T207" s="72"/>
      <c r="U207" s="72"/>
      <c r="V207" s="72"/>
      <c r="W207" s="72"/>
      <c r="X207" s="72"/>
      <c r="Y207" s="72"/>
      <c r="AA207" s="91"/>
      <c r="AB207" s="91"/>
      <c r="AC207" s="72"/>
      <c r="AD207" s="72"/>
      <c r="AE207" s="72"/>
      <c r="AF207" s="72"/>
      <c r="AG207" s="72"/>
      <c r="AH207" s="72"/>
      <c r="AI207" s="72"/>
    </row>
    <row r="208" spans="1:35" ht="13">
      <c r="A208" s="165"/>
      <c r="B208" s="75"/>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AA208" s="91"/>
      <c r="AB208" s="91"/>
      <c r="AC208" s="72"/>
      <c r="AD208" s="72"/>
      <c r="AE208" s="72"/>
      <c r="AF208" s="72"/>
      <c r="AG208" s="72"/>
      <c r="AH208" s="72"/>
      <c r="AI208" s="72"/>
    </row>
    <row r="209" spans="1:35" ht="13.5" thickBot="1">
      <c r="A209" s="72"/>
      <c r="B209" s="72"/>
      <c r="C209" s="72"/>
      <c r="D209" s="72"/>
      <c r="E209" s="72"/>
      <c r="F209" s="72"/>
      <c r="G209" s="72"/>
      <c r="H209" s="72"/>
      <c r="I209" s="72"/>
      <c r="J209" s="72"/>
      <c r="K209" s="105"/>
      <c r="L209" s="72"/>
      <c r="M209" s="243" t="s">
        <v>361</v>
      </c>
      <c r="N209" s="139">
        <f>SUM(M193-M200)</f>
        <v>0</v>
      </c>
      <c r="O209" s="88" t="str">
        <f>$H$18&amp;" added to Total Savings"</f>
        <v>EUR added to Total Savings</v>
      </c>
      <c r="P209" s="70"/>
      <c r="Q209" s="70"/>
      <c r="R209" s="89"/>
      <c r="S209" s="89"/>
      <c r="T209" s="89"/>
      <c r="U209" s="89"/>
      <c r="V209" s="89"/>
      <c r="W209" s="89"/>
      <c r="X209" s="89"/>
      <c r="Y209" s="89"/>
      <c r="Z209" s="157"/>
      <c r="AA209" s="132"/>
      <c r="AB209" s="132"/>
      <c r="AC209" s="89"/>
      <c r="AD209" s="72"/>
      <c r="AE209" s="72"/>
      <c r="AF209" s="72"/>
      <c r="AG209" s="72"/>
      <c r="AH209" s="72"/>
      <c r="AI209" s="72"/>
    </row>
    <row r="210" spans="1:35" ht="13.5" thickTop="1">
      <c r="A210" s="72"/>
      <c r="B210" s="72"/>
      <c r="C210" s="224" t="str">
        <f>IF(Z$190="no","Note - Basic hotel model used - This section not needed"," ")</f>
        <v>Note - Basic hotel model used - This section not needed</v>
      </c>
      <c r="D210" s="72"/>
      <c r="E210" s="72"/>
      <c r="F210" s="72"/>
      <c r="G210" s="72"/>
      <c r="H210" s="72"/>
      <c r="I210" s="72"/>
      <c r="J210" s="72"/>
      <c r="K210" s="105"/>
      <c r="L210" s="105"/>
      <c r="M210" s="105"/>
      <c r="N210" s="105"/>
      <c r="O210" s="105"/>
      <c r="P210" s="105"/>
      <c r="Q210" s="105"/>
      <c r="R210" s="105"/>
      <c r="S210" s="72"/>
      <c r="T210" s="72"/>
      <c r="U210" s="72"/>
      <c r="V210" s="72"/>
      <c r="W210" s="72"/>
      <c r="X210" s="72"/>
      <c r="Y210" s="72"/>
      <c r="AA210" s="91"/>
      <c r="AB210" s="91"/>
      <c r="AC210" s="72"/>
      <c r="AD210" s="72"/>
      <c r="AE210" s="72"/>
      <c r="AF210" s="72"/>
      <c r="AG210" s="72"/>
      <c r="AH210" s="72"/>
      <c r="AI210" s="72"/>
    </row>
    <row r="211" spans="1:35" ht="13">
      <c r="A211" s="72"/>
      <c r="B211" s="72"/>
      <c r="C211" s="72"/>
      <c r="D211" s="72"/>
      <c r="E211" s="72"/>
      <c r="F211" s="72"/>
      <c r="G211" s="206" t="str">
        <f>IF(Z$190="yes","Note - Break Down HOTEL model used"," ")</f>
        <v xml:space="preserve"> </v>
      </c>
      <c r="H211" s="72"/>
      <c r="I211" s="72"/>
      <c r="J211" s="72"/>
      <c r="K211" s="72"/>
      <c r="L211" s="72"/>
      <c r="M211" s="72"/>
      <c r="N211" s="72"/>
      <c r="O211" s="72"/>
      <c r="P211" s="72"/>
      <c r="Q211" s="72"/>
      <c r="R211" s="72"/>
      <c r="S211" s="72"/>
      <c r="T211" s="72"/>
      <c r="U211" s="72"/>
      <c r="V211" s="72"/>
      <c r="W211" s="72"/>
      <c r="X211" s="72"/>
      <c r="Y211" s="72"/>
      <c r="AA211" s="91"/>
      <c r="AB211" s="91"/>
      <c r="AC211" s="72"/>
      <c r="AD211" s="72"/>
      <c r="AE211" s="72"/>
      <c r="AF211" s="72"/>
      <c r="AG211" s="72"/>
      <c r="AH211" s="72"/>
      <c r="AI211" s="72"/>
    </row>
    <row r="212" spans="1:35" ht="13">
      <c r="A212" s="72"/>
      <c r="B212" s="72"/>
      <c r="C212" s="74" t="s">
        <v>348</v>
      </c>
      <c r="D212" s="72"/>
      <c r="E212" s="74" t="s">
        <v>87</v>
      </c>
      <c r="F212" s="105"/>
      <c r="G212" s="206" t="str">
        <f>IF(Z$190="n","Note - Basic hotel model used"," ")</f>
        <v xml:space="preserve"> </v>
      </c>
      <c r="H212" s="72"/>
      <c r="I212" s="72"/>
      <c r="J212" s="72"/>
      <c r="K212" s="214" t="s">
        <v>329</v>
      </c>
      <c r="L212" s="72"/>
      <c r="M212" s="72"/>
      <c r="N212" s="72"/>
      <c r="O212" s="72"/>
      <c r="P212" s="72"/>
      <c r="Q212" s="72"/>
      <c r="R212" s="72"/>
      <c r="S212" s="72"/>
      <c r="T212" s="72"/>
      <c r="U212" s="72"/>
      <c r="V212" s="72"/>
      <c r="W212" s="72"/>
      <c r="X212" s="72"/>
      <c r="Y212" s="72"/>
      <c r="AA212" s="91"/>
      <c r="AB212" s="91"/>
      <c r="AC212" s="72"/>
      <c r="AD212" s="72"/>
      <c r="AE212" s="72"/>
      <c r="AF212" s="72"/>
      <c r="AG212" s="72"/>
      <c r="AH212" s="72"/>
      <c r="AI212" s="72"/>
    </row>
    <row r="213" spans="1:35" ht="13">
      <c r="A213" s="72"/>
      <c r="B213" s="72"/>
      <c r="C213" s="114" t="str">
        <f>IF(Z$190="n"," ","Hotel- No agreement")</f>
        <v>Hotel- No agreement</v>
      </c>
      <c r="D213" s="72"/>
      <c r="E213" s="72"/>
      <c r="F213" s="105"/>
      <c r="G213" s="99" t="s">
        <v>83</v>
      </c>
      <c r="H213" s="99" t="s">
        <v>14</v>
      </c>
      <c r="I213" s="72"/>
      <c r="J213" s="72"/>
      <c r="K213" s="75" t="s">
        <v>293</v>
      </c>
      <c r="L213" s="72"/>
      <c r="M213" s="105" t="s">
        <v>69</v>
      </c>
      <c r="N213" s="72"/>
      <c r="O213" s="72"/>
      <c r="P213" s="72"/>
      <c r="Q213" s="72"/>
      <c r="R213" s="72"/>
      <c r="S213" s="72"/>
      <c r="T213" s="72"/>
      <c r="U213" s="72"/>
      <c r="V213" s="72"/>
      <c r="W213" s="72"/>
      <c r="X213" s="72"/>
      <c r="Y213" s="72"/>
      <c r="AA213" s="91"/>
      <c r="AB213" s="91"/>
      <c r="AC213" s="72"/>
      <c r="AD213" s="72"/>
      <c r="AE213" s="72"/>
      <c r="AF213" s="72"/>
      <c r="AG213" s="72"/>
      <c r="AH213" s="72"/>
      <c r="AI213" s="72"/>
    </row>
    <row r="214" spans="1:35" ht="13">
      <c r="A214" s="72"/>
      <c r="B214" s="72"/>
      <c r="C214" s="72"/>
      <c r="D214" s="72"/>
      <c r="E214" s="105" t="s">
        <v>119</v>
      </c>
      <c r="F214" s="105"/>
      <c r="G214" s="6">
        <f>IF(Z$214="no",0,+T82)</f>
        <v>0</v>
      </c>
      <c r="H214" s="6">
        <f>IF(Z214="no",0,+N82)</f>
        <v>0</v>
      </c>
      <c r="I214" s="72"/>
      <c r="J214" s="72"/>
      <c r="K214" s="8">
        <f>+K158</f>
        <v>0</v>
      </c>
      <c r="L214" s="72"/>
      <c r="M214" s="6">
        <f>SUM(H214*K214)</f>
        <v>0</v>
      </c>
      <c r="N214" s="101" t="str">
        <f>+$H$18</f>
        <v>EUR</v>
      </c>
      <c r="O214" s="72"/>
      <c r="P214" s="72"/>
      <c r="Q214" s="72"/>
      <c r="R214" s="72"/>
      <c r="S214" s="72"/>
      <c r="T214" s="72"/>
      <c r="U214" s="72"/>
      <c r="V214" s="72"/>
      <c r="W214" s="72"/>
      <c r="X214" s="72"/>
      <c r="Y214" s="72"/>
      <c r="Z214" s="153" t="str">
        <f>+Z190</f>
        <v>No</v>
      </c>
      <c r="AA214" s="91"/>
      <c r="AB214" s="91"/>
      <c r="AC214" s="72"/>
      <c r="AD214" s="72"/>
      <c r="AE214" s="72"/>
      <c r="AF214" s="72"/>
      <c r="AG214" s="72"/>
      <c r="AH214" s="72"/>
      <c r="AI214" s="72"/>
    </row>
    <row r="215" spans="1:35" ht="13">
      <c r="A215" s="72"/>
      <c r="B215" s="72"/>
      <c r="C215" s="72"/>
      <c r="D215" s="72"/>
      <c r="E215" s="75" t="s">
        <v>224</v>
      </c>
      <c r="F215" s="117"/>
      <c r="G215" s="6">
        <f>IF(Z214="no",H138,T83)</f>
        <v>0</v>
      </c>
      <c r="H215" s="36">
        <f>IF(Z214="no",I138,N83)</f>
        <v>0</v>
      </c>
      <c r="I215" s="72"/>
      <c r="J215" s="72"/>
      <c r="K215" s="8">
        <f>+K159</f>
        <v>10</v>
      </c>
      <c r="L215" s="72"/>
      <c r="M215" s="6">
        <f>SUM(H215*K215)</f>
        <v>0</v>
      </c>
      <c r="N215" s="101" t="str">
        <f>+$H$18</f>
        <v>EUR</v>
      </c>
      <c r="O215" s="72"/>
      <c r="P215" s="72"/>
      <c r="Q215" s="72"/>
      <c r="R215" s="72"/>
      <c r="S215" s="72"/>
      <c r="T215" s="72"/>
      <c r="U215" s="72"/>
      <c r="V215" s="72"/>
      <c r="W215" s="72"/>
      <c r="X215" s="72"/>
      <c r="Y215" s="72"/>
      <c r="AA215" s="91"/>
      <c r="AB215" s="91"/>
      <c r="AC215" s="72"/>
      <c r="AD215" s="72"/>
      <c r="AE215" s="72"/>
      <c r="AF215" s="72"/>
      <c r="AG215" s="72"/>
      <c r="AH215" s="72"/>
      <c r="AI215" s="72"/>
    </row>
    <row r="216" spans="1:35" ht="13">
      <c r="A216" s="72"/>
      <c r="B216" s="72"/>
      <c r="C216" s="223"/>
      <c r="D216" s="72"/>
      <c r="E216" s="75" t="s">
        <v>225</v>
      </c>
      <c r="F216" s="72"/>
      <c r="G216" s="6">
        <f>IF(Z214="no",SUM(100-G215),T84)</f>
        <v>100</v>
      </c>
      <c r="H216" s="36">
        <f>IF(Z214="no",0,N84)</f>
        <v>0</v>
      </c>
      <c r="I216" s="72"/>
      <c r="J216" s="72"/>
      <c r="K216" s="8">
        <f>+K160</f>
        <v>50</v>
      </c>
      <c r="L216" s="72"/>
      <c r="M216" s="140">
        <f>SUM(H216*K216)</f>
        <v>0</v>
      </c>
      <c r="N216" s="101" t="str">
        <f>+$H$18</f>
        <v>EUR</v>
      </c>
      <c r="O216" s="72"/>
      <c r="P216" s="72"/>
      <c r="Q216" s="72"/>
      <c r="R216" s="72"/>
      <c r="S216" s="72"/>
      <c r="T216" s="72"/>
      <c r="U216" s="72"/>
      <c r="V216" s="72"/>
      <c r="W216" s="72"/>
      <c r="X216" s="72"/>
      <c r="Y216" s="72"/>
      <c r="AA216" s="91"/>
      <c r="AB216" s="91"/>
      <c r="AC216" s="72"/>
      <c r="AD216" s="72"/>
      <c r="AE216" s="72"/>
      <c r="AF216" s="72"/>
      <c r="AG216" s="72"/>
      <c r="AH216" s="72"/>
      <c r="AI216" s="72"/>
    </row>
    <row r="217" spans="1:35" ht="13">
      <c r="A217" s="72"/>
      <c r="B217" s="72"/>
      <c r="C217" s="223"/>
      <c r="D217" s="72"/>
      <c r="E217" s="72"/>
      <c r="F217" s="72"/>
      <c r="G217" s="106">
        <f>SUM(G214:G216)</f>
        <v>100</v>
      </c>
      <c r="H217" s="106">
        <f>SUM(H214:H216)</f>
        <v>0</v>
      </c>
      <c r="I217" s="72"/>
      <c r="J217" s="72"/>
      <c r="K217" s="72"/>
      <c r="L217" s="72"/>
      <c r="M217" s="106">
        <f>SUM(M214:M216)</f>
        <v>0</v>
      </c>
      <c r="N217" s="101" t="str">
        <f>+$H$18</f>
        <v>EUR</v>
      </c>
      <c r="O217" s="72"/>
      <c r="P217" s="72"/>
      <c r="Q217" s="72"/>
      <c r="R217" s="72"/>
      <c r="S217" s="72"/>
      <c r="T217" s="72"/>
      <c r="U217" s="72"/>
      <c r="V217" s="72"/>
      <c r="W217" s="72"/>
      <c r="X217" s="72"/>
      <c r="Y217" s="72"/>
      <c r="AA217" s="91"/>
      <c r="AB217" s="91"/>
      <c r="AC217" s="72"/>
      <c r="AD217" s="72"/>
      <c r="AE217" s="72"/>
      <c r="AF217" s="72"/>
      <c r="AG217" s="72"/>
      <c r="AH217" s="72"/>
      <c r="AI217" s="72"/>
    </row>
    <row r="218" spans="1:35" ht="13">
      <c r="A218" s="72"/>
      <c r="B218" s="72"/>
      <c r="C218" s="223"/>
      <c r="D218" s="72"/>
      <c r="E218" s="72"/>
      <c r="F218" s="72"/>
      <c r="G218" s="72"/>
      <c r="H218" s="72"/>
      <c r="I218" s="72"/>
      <c r="J218" s="72"/>
      <c r="K218" s="72"/>
      <c r="L218" s="72"/>
      <c r="M218" s="72"/>
      <c r="N218" s="72"/>
      <c r="O218" s="72"/>
      <c r="P218" s="72"/>
      <c r="Q218" s="72"/>
      <c r="R218" s="72"/>
      <c r="S218" s="72"/>
      <c r="T218" s="72"/>
      <c r="U218" s="72"/>
      <c r="V218" s="72"/>
      <c r="W218" s="72"/>
      <c r="X218" s="72"/>
      <c r="Y218" s="72"/>
      <c r="AA218" s="91"/>
      <c r="AB218" s="91"/>
      <c r="AC218" s="72"/>
      <c r="AD218" s="72"/>
      <c r="AE218" s="72"/>
      <c r="AF218" s="72"/>
      <c r="AG218" s="72"/>
      <c r="AH218" s="72"/>
      <c r="AI218" s="72"/>
    </row>
    <row r="219" spans="1:35" ht="13">
      <c r="A219" s="72"/>
      <c r="B219" s="72"/>
      <c r="C219" s="223"/>
      <c r="D219" s="72"/>
      <c r="E219" s="74" t="s">
        <v>345</v>
      </c>
      <c r="F219" s="72"/>
      <c r="G219" s="72"/>
      <c r="H219" s="72"/>
      <c r="I219" s="72"/>
      <c r="J219" s="72"/>
      <c r="K219" s="219" t="s">
        <v>328</v>
      </c>
      <c r="L219" s="72"/>
      <c r="M219" s="72"/>
      <c r="N219" s="72"/>
      <c r="O219" s="72"/>
      <c r="P219" s="72"/>
      <c r="Q219" s="72"/>
      <c r="R219" s="72"/>
      <c r="S219" s="72"/>
      <c r="T219" s="72"/>
      <c r="U219" s="72"/>
      <c r="V219" s="72"/>
      <c r="W219" s="72"/>
      <c r="X219" s="72"/>
      <c r="Y219" s="72"/>
      <c r="AA219" s="91"/>
      <c r="AB219" s="91"/>
      <c r="AC219" s="72"/>
      <c r="AD219" s="72"/>
      <c r="AE219" s="72"/>
      <c r="AF219" s="72"/>
      <c r="AG219" s="72"/>
      <c r="AH219" s="72"/>
      <c r="AI219" s="72"/>
    </row>
    <row r="220" spans="1:35" ht="13">
      <c r="A220" s="72"/>
      <c r="B220" s="72"/>
      <c r="C220" s="223"/>
      <c r="D220" s="72"/>
      <c r="E220" s="72"/>
      <c r="F220" s="72"/>
      <c r="G220" s="99" t="s">
        <v>83</v>
      </c>
      <c r="H220" s="99" t="s">
        <v>14</v>
      </c>
      <c r="I220" s="72"/>
      <c r="J220" s="72"/>
      <c r="K220" s="219" t="s">
        <v>293</v>
      </c>
      <c r="L220" s="72"/>
      <c r="M220" s="105" t="s">
        <v>69</v>
      </c>
      <c r="N220" s="72"/>
      <c r="O220" s="72"/>
      <c r="P220" s="72"/>
      <c r="Q220" s="72"/>
      <c r="R220" s="72"/>
      <c r="S220" s="72"/>
      <c r="T220" s="72"/>
      <c r="U220" s="72"/>
      <c r="V220" s="72"/>
      <c r="W220" s="72"/>
      <c r="X220" s="72"/>
      <c r="Y220" s="72"/>
      <c r="AA220" s="91"/>
      <c r="AB220" s="91"/>
      <c r="AC220" s="72"/>
      <c r="AD220" s="72"/>
      <c r="AE220" s="72"/>
      <c r="AF220" s="72"/>
      <c r="AG220" s="72"/>
      <c r="AH220" s="72"/>
      <c r="AI220" s="72"/>
    </row>
    <row r="221" spans="1:35" ht="13">
      <c r="A221" s="72"/>
      <c r="B221" s="72"/>
      <c r="D221" s="72"/>
      <c r="E221" s="105" t="s">
        <v>119</v>
      </c>
      <c r="F221" s="72"/>
      <c r="G221" s="217">
        <v>10</v>
      </c>
      <c r="H221" s="6">
        <f>SUM(H$217/100*G221)</f>
        <v>0</v>
      </c>
      <c r="I221" s="72"/>
      <c r="J221" s="72"/>
      <c r="K221" s="8">
        <f>+K197</f>
        <v>0</v>
      </c>
      <c r="L221" s="72"/>
      <c r="M221" s="140">
        <f>SUM(H221*K221)</f>
        <v>0</v>
      </c>
      <c r="N221" s="101" t="str">
        <f>+$H$18</f>
        <v>EUR</v>
      </c>
      <c r="O221" s="72"/>
      <c r="P221" s="72"/>
      <c r="Q221" s="72"/>
      <c r="R221" s="72"/>
      <c r="S221" s="72"/>
      <c r="T221" s="72"/>
      <c r="U221" s="72"/>
      <c r="V221" s="72"/>
      <c r="W221" s="72"/>
      <c r="X221" s="72"/>
      <c r="Y221" s="72"/>
      <c r="AA221" s="91"/>
      <c r="AB221" s="91"/>
      <c r="AC221" s="72"/>
      <c r="AD221" s="72"/>
      <c r="AE221" s="72"/>
      <c r="AF221" s="72"/>
      <c r="AG221" s="72"/>
      <c r="AH221" s="72"/>
      <c r="AI221" s="72"/>
    </row>
    <row r="222" spans="1:35" ht="13">
      <c r="A222" s="72"/>
      <c r="B222" s="72"/>
      <c r="C222" s="185"/>
      <c r="D222" s="72"/>
      <c r="E222" s="75" t="s">
        <v>224</v>
      </c>
      <c r="G222" s="43">
        <v>70</v>
      </c>
      <c r="H222" s="6">
        <f t="shared" ref="H222:H223" si="36">SUM(H$217/100*G222)</f>
        <v>0</v>
      </c>
      <c r="I222" s="72"/>
      <c r="J222" s="72"/>
      <c r="K222" s="8">
        <f>HLOOKUP(N222,$AC$160:$AH$168,AB162,FALSE)</f>
        <v>0</v>
      </c>
      <c r="L222" s="72"/>
      <c r="M222" s="140">
        <f>SUM(H222*K222)</f>
        <v>0</v>
      </c>
      <c r="N222" s="101" t="str">
        <f>+$H$18</f>
        <v>EUR</v>
      </c>
      <c r="O222" s="72"/>
      <c r="P222" s="72"/>
      <c r="Q222" s="72"/>
      <c r="R222" s="72"/>
      <c r="S222" s="72"/>
      <c r="T222" s="72"/>
      <c r="U222" s="72"/>
      <c r="V222" s="72"/>
      <c r="W222" s="72"/>
      <c r="X222" s="72"/>
      <c r="Y222" s="72"/>
      <c r="AA222" s="91"/>
      <c r="AB222" s="91"/>
      <c r="AC222" s="72"/>
      <c r="AD222" s="75" t="s">
        <v>171</v>
      </c>
      <c r="AE222" s="72"/>
      <c r="AF222" s="72"/>
      <c r="AG222" s="72"/>
      <c r="AH222" s="72"/>
      <c r="AI222" s="72"/>
    </row>
    <row r="223" spans="1:35" ht="13">
      <c r="A223" s="72"/>
      <c r="B223" s="72"/>
      <c r="C223" s="72"/>
      <c r="D223" s="72"/>
      <c r="E223" s="75" t="s">
        <v>225</v>
      </c>
      <c r="G223" s="218">
        <f>SUM(100-(G221+G222))</f>
        <v>20</v>
      </c>
      <c r="H223" s="6">
        <f t="shared" si="36"/>
        <v>0</v>
      </c>
      <c r="I223" s="72"/>
      <c r="J223" s="72"/>
      <c r="K223" s="8">
        <f>HLOOKUP(N223,$AC$160:$AH$168,AB165,FALSE)</f>
        <v>7</v>
      </c>
      <c r="L223" s="72"/>
      <c r="M223" s="140">
        <f>SUM(H223*K223)</f>
        <v>0</v>
      </c>
      <c r="N223" s="101" t="str">
        <f>+$H$18</f>
        <v>EUR</v>
      </c>
      <c r="O223" s="72"/>
      <c r="P223" s="72"/>
      <c r="Q223" s="72"/>
      <c r="R223" s="72"/>
      <c r="S223" s="72"/>
      <c r="T223" s="72"/>
      <c r="U223" s="72"/>
      <c r="V223" s="72"/>
      <c r="W223" s="72"/>
      <c r="X223" s="72"/>
      <c r="Y223" s="72"/>
      <c r="AA223" s="91"/>
      <c r="AB223" s="91"/>
      <c r="AC223" s="72"/>
      <c r="AD223" s="72"/>
      <c r="AE223" s="72"/>
      <c r="AF223" s="72"/>
      <c r="AG223" s="72"/>
      <c r="AH223" s="72"/>
      <c r="AI223" s="72"/>
    </row>
    <row r="224" spans="1:35" ht="13">
      <c r="A224" s="72"/>
      <c r="B224" s="72"/>
      <c r="C224" s="72"/>
      <c r="D224" s="72"/>
      <c r="E224" s="72"/>
      <c r="F224" s="74"/>
      <c r="G224" s="106">
        <f>SUM(G221:G223)</f>
        <v>100</v>
      </c>
      <c r="H224" s="106">
        <f>SUM(H221:H223)</f>
        <v>0</v>
      </c>
      <c r="I224" s="72"/>
      <c r="J224" s="72"/>
      <c r="K224" s="72"/>
      <c r="L224" s="72"/>
      <c r="M224" s="102">
        <f>SUM(M221:M223)</f>
        <v>0</v>
      </c>
      <c r="N224" s="101" t="str">
        <f>+$H$18</f>
        <v>EUR</v>
      </c>
      <c r="O224" s="72"/>
      <c r="P224" s="72"/>
      <c r="Q224" s="72"/>
      <c r="R224" s="72"/>
      <c r="S224" s="72"/>
      <c r="T224" s="72"/>
      <c r="U224" s="72"/>
      <c r="V224" s="72"/>
      <c r="W224" s="72"/>
      <c r="X224" s="72"/>
      <c r="Y224" s="72"/>
      <c r="AA224" s="91"/>
      <c r="AB224" s="91"/>
      <c r="AC224" s="72"/>
      <c r="AD224" s="72"/>
      <c r="AE224" s="72"/>
      <c r="AF224" s="72"/>
      <c r="AG224" s="72"/>
      <c r="AH224" s="72"/>
      <c r="AI224" s="72"/>
    </row>
    <row r="225" spans="1:83" ht="13">
      <c r="A225" s="72"/>
      <c r="B225" s="72"/>
      <c r="C225" s="72"/>
      <c r="D225" s="72"/>
      <c r="E225" s="138"/>
      <c r="F225" s="74"/>
      <c r="G225" s="72"/>
      <c r="H225" s="72"/>
      <c r="I225" s="72"/>
      <c r="J225" s="72"/>
      <c r="K225" s="72"/>
      <c r="L225" s="72"/>
      <c r="M225" s="106"/>
      <c r="N225" s="72"/>
      <c r="O225" s="72"/>
      <c r="P225" s="72"/>
      <c r="Q225" s="72"/>
      <c r="R225" s="72"/>
      <c r="S225" s="72"/>
      <c r="T225" s="72"/>
      <c r="U225" s="72"/>
      <c r="V225" s="72"/>
      <c r="W225" s="72"/>
      <c r="X225" s="72"/>
      <c r="Y225" s="72"/>
      <c r="AA225" s="91"/>
      <c r="AB225" s="91"/>
      <c r="AC225" s="72"/>
      <c r="AD225" s="72"/>
      <c r="AE225" s="72"/>
      <c r="AF225" s="72"/>
      <c r="AG225" s="72"/>
      <c r="AH225" s="72"/>
      <c r="AI225" s="72"/>
    </row>
    <row r="226" spans="1:83" ht="13" hidden="1">
      <c r="A226" s="72"/>
      <c r="B226" s="75"/>
      <c r="C226" s="75"/>
      <c r="D226" s="75"/>
      <c r="E226" s="75"/>
      <c r="F226" s="75"/>
      <c r="G226" s="75"/>
      <c r="H226" s="75"/>
      <c r="I226" s="75"/>
      <c r="J226" s="75"/>
      <c r="K226" s="75"/>
      <c r="L226" s="75"/>
      <c r="M226" s="75"/>
      <c r="N226" s="75"/>
      <c r="O226" s="72"/>
      <c r="P226" s="72"/>
      <c r="Q226" s="72"/>
      <c r="R226" s="72"/>
      <c r="S226" s="72"/>
      <c r="T226" s="72"/>
      <c r="U226" s="72"/>
      <c r="V226" s="105" t="s">
        <v>121</v>
      </c>
      <c r="W226" s="106">
        <f>+M227+M221</f>
        <v>0</v>
      </c>
      <c r="X226" s="72"/>
      <c r="Y226" s="72"/>
      <c r="AA226" s="91"/>
      <c r="AB226" s="91"/>
      <c r="AC226" s="72"/>
      <c r="AD226" s="72"/>
      <c r="AE226" s="72"/>
      <c r="AF226" s="72"/>
      <c r="AG226" s="72"/>
      <c r="AH226" s="72"/>
      <c r="AI226" s="72"/>
    </row>
    <row r="227" spans="1:83" ht="13" hidden="1">
      <c r="A227" s="72"/>
      <c r="B227" s="75"/>
      <c r="C227" s="75"/>
      <c r="D227" s="75"/>
      <c r="E227" s="75"/>
      <c r="F227" s="75"/>
      <c r="G227" s="75"/>
      <c r="H227" s="75"/>
      <c r="I227" s="75"/>
      <c r="J227" s="75"/>
      <c r="K227" s="75"/>
      <c r="L227" s="75"/>
      <c r="M227" s="75"/>
      <c r="N227" s="75"/>
      <c r="O227" s="72"/>
      <c r="P227" s="72"/>
      <c r="Q227" s="72"/>
      <c r="R227" s="72"/>
      <c r="S227" s="72"/>
      <c r="T227" s="72"/>
      <c r="U227" s="72"/>
      <c r="V227" s="105" t="s">
        <v>120</v>
      </c>
      <c r="W227" s="106">
        <f>+M228+M222</f>
        <v>0</v>
      </c>
      <c r="X227" s="72"/>
      <c r="Y227" s="72"/>
      <c r="AA227" s="91"/>
      <c r="AB227" s="91"/>
      <c r="AC227" s="72"/>
      <c r="AD227" s="72"/>
      <c r="AE227" s="72"/>
      <c r="AF227" s="72"/>
      <c r="AG227" s="72"/>
      <c r="AH227" s="72"/>
      <c r="AI227" s="72"/>
    </row>
    <row r="228" spans="1:83" ht="13" hidden="1">
      <c r="A228" s="72"/>
      <c r="B228" s="75"/>
      <c r="C228" s="75"/>
      <c r="D228" s="75"/>
      <c r="E228" s="75"/>
      <c r="F228" s="75"/>
      <c r="G228" s="75"/>
      <c r="H228" s="75"/>
      <c r="I228" s="75"/>
      <c r="J228" s="75"/>
      <c r="K228" s="75"/>
      <c r="L228" s="75"/>
      <c r="M228" s="75"/>
      <c r="N228" s="75"/>
      <c r="O228" s="72"/>
      <c r="P228" s="72"/>
      <c r="Q228" s="72"/>
      <c r="R228" s="72"/>
      <c r="S228" s="72"/>
      <c r="T228" s="72"/>
      <c r="U228" s="72"/>
      <c r="V228" s="72"/>
      <c r="W228" s="72"/>
      <c r="X228" s="72"/>
      <c r="Y228" s="72"/>
      <c r="AA228" s="91"/>
      <c r="AB228" s="91"/>
      <c r="AC228" s="72"/>
      <c r="AD228" s="72"/>
      <c r="AE228" s="72"/>
      <c r="AF228" s="72"/>
      <c r="AG228" s="72"/>
      <c r="AH228" s="72"/>
      <c r="AI228" s="72"/>
    </row>
    <row r="229" spans="1:83" ht="13" hidden="1">
      <c r="A229" s="72"/>
      <c r="B229" s="72"/>
      <c r="C229" s="72"/>
      <c r="D229" s="72"/>
      <c r="E229" s="72"/>
      <c r="F229" s="72"/>
      <c r="G229" s="72"/>
      <c r="H229" s="72"/>
      <c r="I229" s="72"/>
      <c r="J229" s="72"/>
      <c r="K229" s="72"/>
      <c r="L229" s="72"/>
      <c r="M229" s="72"/>
      <c r="N229" s="72"/>
      <c r="O229" s="72"/>
      <c r="P229" s="72"/>
      <c r="Q229" s="72"/>
      <c r="R229" s="72"/>
      <c r="S229" s="72"/>
      <c r="T229" s="72"/>
      <c r="U229" s="72"/>
      <c r="V229" s="72"/>
      <c r="W229" s="72"/>
      <c r="X229" s="72"/>
      <c r="Y229" s="72"/>
      <c r="AA229" s="91"/>
      <c r="AB229" s="91"/>
      <c r="AC229" s="72"/>
      <c r="AD229" s="72"/>
      <c r="AE229" s="72"/>
      <c r="AF229" s="72"/>
      <c r="AG229" s="72"/>
      <c r="AH229" s="72"/>
      <c r="AI229" s="72"/>
    </row>
    <row r="230" spans="1:83" ht="13" hidden="1">
      <c r="A230" s="72"/>
      <c r="B230" s="72"/>
      <c r="C230" s="72"/>
      <c r="D230" s="72"/>
      <c r="E230" s="72"/>
      <c r="F230" s="74"/>
      <c r="G230" s="72"/>
      <c r="H230" s="72"/>
      <c r="I230" s="72"/>
      <c r="J230" s="72"/>
      <c r="K230" s="72"/>
      <c r="L230" s="72"/>
      <c r="M230" s="72"/>
      <c r="N230" s="72"/>
      <c r="O230" s="72"/>
      <c r="P230" s="72"/>
      <c r="Q230" s="72"/>
      <c r="R230" s="72"/>
      <c r="S230" s="72"/>
      <c r="T230" s="72"/>
      <c r="U230" s="72"/>
      <c r="V230" s="72"/>
      <c r="W230" s="72"/>
      <c r="X230" s="72"/>
      <c r="Y230" s="72"/>
      <c r="AA230" s="91"/>
      <c r="AB230" s="91"/>
      <c r="AC230" s="72"/>
      <c r="AD230" s="72"/>
      <c r="AE230" s="72"/>
      <c r="AF230" s="72"/>
      <c r="AG230" s="72"/>
      <c r="AH230" s="72"/>
      <c r="AI230" s="72"/>
    </row>
    <row r="231" spans="1:83" ht="13">
      <c r="A231" s="72"/>
      <c r="B231" s="72"/>
      <c r="C231" s="72"/>
      <c r="D231" s="72"/>
      <c r="E231" s="72"/>
      <c r="F231" s="72"/>
      <c r="G231" s="72"/>
      <c r="H231" s="72"/>
      <c r="I231" s="72"/>
      <c r="J231" s="72"/>
      <c r="K231" s="72"/>
      <c r="L231" s="72"/>
      <c r="M231" s="72"/>
      <c r="N231" s="72"/>
      <c r="O231" s="72"/>
      <c r="P231" s="72"/>
      <c r="Q231" s="72"/>
      <c r="R231" s="72"/>
      <c r="S231" s="72"/>
      <c r="T231" s="72"/>
      <c r="U231" s="72"/>
      <c r="V231" s="72"/>
      <c r="W231" s="72"/>
      <c r="X231" s="72"/>
      <c r="Y231" s="72"/>
      <c r="AA231" s="91"/>
      <c r="AB231" s="91"/>
      <c r="AC231" s="72"/>
      <c r="AD231" s="72"/>
      <c r="AE231" s="72"/>
      <c r="AF231" s="72"/>
      <c r="AG231" s="72"/>
      <c r="AH231" s="72"/>
      <c r="AI231" s="72"/>
    </row>
    <row r="232" spans="1:83" ht="13">
      <c r="A232" s="72"/>
      <c r="B232" s="72"/>
      <c r="C232" s="72"/>
      <c r="D232" s="72"/>
      <c r="E232" s="72"/>
      <c r="F232" s="72"/>
      <c r="G232" s="72"/>
      <c r="H232" s="72"/>
      <c r="I232" s="72"/>
      <c r="J232" s="72"/>
      <c r="K232" s="72"/>
      <c r="L232" s="72"/>
      <c r="M232" s="72"/>
      <c r="N232" s="72"/>
      <c r="O232" s="72"/>
      <c r="P232" s="72"/>
      <c r="Q232" s="72"/>
      <c r="R232" s="72"/>
      <c r="S232" s="72"/>
      <c r="T232" s="72"/>
      <c r="U232" s="72"/>
      <c r="V232" s="72"/>
      <c r="W232" s="72"/>
      <c r="X232" s="72"/>
      <c r="Y232" s="72"/>
      <c r="AA232" s="91"/>
      <c r="AB232" s="91"/>
      <c r="AC232" s="72"/>
      <c r="AD232" s="72"/>
      <c r="AE232" s="72"/>
      <c r="AF232" s="72"/>
      <c r="AG232" s="72"/>
      <c r="AH232" s="72"/>
      <c r="AI232" s="72"/>
    </row>
    <row r="233" spans="1:83" ht="13.5" thickBot="1">
      <c r="A233" s="165"/>
      <c r="B233" s="72"/>
      <c r="C233" s="72"/>
      <c r="D233" s="72"/>
      <c r="E233" s="72"/>
      <c r="F233" s="72"/>
      <c r="G233" s="72"/>
      <c r="H233" s="72"/>
      <c r="I233" s="72"/>
      <c r="J233" s="72"/>
      <c r="K233" s="105"/>
      <c r="L233" s="72"/>
      <c r="M233" s="243" t="s">
        <v>362</v>
      </c>
      <c r="N233" s="139">
        <f>IF(Z190="no",0,(ROUND(SUM(M217-M224),0)))</f>
        <v>0</v>
      </c>
      <c r="O233" s="88" t="str">
        <f>$H$18&amp;" added to Total Savings"</f>
        <v>EUR added to Total Savings</v>
      </c>
      <c r="P233" s="70"/>
      <c r="Q233" s="70"/>
      <c r="R233" s="89"/>
      <c r="S233" s="89"/>
      <c r="T233" s="89"/>
      <c r="U233" s="89"/>
      <c r="V233" s="89"/>
      <c r="W233" s="89"/>
      <c r="X233" s="89"/>
      <c r="Y233" s="89"/>
      <c r="Z233" s="157"/>
      <c r="AA233" s="132"/>
      <c r="AB233" s="132"/>
      <c r="AC233" s="89"/>
      <c r="AD233" s="72"/>
      <c r="AE233" s="72"/>
      <c r="AF233" s="72"/>
      <c r="AG233" s="72"/>
      <c r="AH233" s="72"/>
      <c r="AI233" s="72"/>
    </row>
    <row r="234" spans="1:83" ht="13.5" thickTop="1">
      <c r="A234" s="72"/>
      <c r="B234" s="72"/>
      <c r="C234" s="72"/>
      <c r="D234" s="72"/>
      <c r="E234" s="72"/>
      <c r="F234" s="72"/>
      <c r="G234" s="72"/>
      <c r="H234" s="72"/>
      <c r="I234" s="72"/>
      <c r="J234" s="72"/>
      <c r="K234" s="105"/>
      <c r="L234" s="72"/>
      <c r="M234" s="131"/>
      <c r="N234" s="137"/>
      <c r="O234" s="74"/>
      <c r="P234" s="72"/>
      <c r="Q234" s="72"/>
      <c r="R234" s="72"/>
      <c r="S234" s="72"/>
      <c r="T234" s="72"/>
      <c r="U234" s="72"/>
      <c r="V234" s="72"/>
      <c r="W234" s="72"/>
      <c r="X234" s="72"/>
      <c r="Y234" s="72"/>
      <c r="AA234" s="91"/>
      <c r="AB234" s="91"/>
      <c r="AC234" s="72"/>
      <c r="AD234" s="72"/>
      <c r="AE234" s="72"/>
      <c r="AF234" s="72"/>
      <c r="AG234" s="72"/>
      <c r="AH234" s="72"/>
      <c r="AI234" s="72"/>
    </row>
    <row r="235" spans="1:83" ht="13">
      <c r="A235" s="72"/>
      <c r="B235" s="72"/>
      <c r="C235" s="72"/>
      <c r="D235" s="72"/>
      <c r="E235" s="72"/>
      <c r="F235" s="72"/>
      <c r="G235" s="72"/>
      <c r="H235" s="72"/>
      <c r="I235" s="72"/>
      <c r="J235" s="72"/>
      <c r="K235" s="72"/>
      <c r="L235" s="72"/>
      <c r="M235" s="72"/>
      <c r="N235" s="72"/>
      <c r="O235" s="72"/>
      <c r="P235" s="72"/>
      <c r="Q235" s="72"/>
      <c r="R235" s="72"/>
      <c r="S235" s="72"/>
      <c r="T235" s="72"/>
      <c r="U235" s="72"/>
      <c r="V235" s="72"/>
      <c r="W235" s="72"/>
      <c r="X235" s="72"/>
      <c r="Y235" s="72"/>
      <c r="AA235" s="91"/>
      <c r="AB235" s="91"/>
      <c r="AC235" s="72"/>
      <c r="AD235" s="72"/>
      <c r="AE235" s="72"/>
      <c r="AF235" s="72"/>
      <c r="AG235" s="72"/>
      <c r="AH235" s="72"/>
      <c r="AI235" s="72"/>
    </row>
    <row r="236" spans="1:83" s="52" customFormat="1" ht="7" customHeight="1">
      <c r="M236" s="53"/>
      <c r="N236" s="54"/>
      <c r="Z236" s="153"/>
      <c r="AJ236" s="72"/>
      <c r="AK236" s="72"/>
      <c r="AL236" s="72"/>
      <c r="AM236" s="72"/>
      <c r="AN236" s="72"/>
      <c r="AO236" s="72"/>
      <c r="AP236" s="72"/>
      <c r="AQ236" s="72"/>
      <c r="AR236" s="72"/>
      <c r="AS236" s="72"/>
      <c r="AT236" s="72"/>
      <c r="AU236" s="72"/>
      <c r="AV236" s="72"/>
      <c r="AW236" s="72"/>
      <c r="AX236" s="72"/>
      <c r="AY236" s="72"/>
      <c r="AZ236" s="72"/>
      <c r="BA236" s="72"/>
      <c r="BB236" s="72"/>
      <c r="BC236" s="72"/>
      <c r="BD236" s="72"/>
      <c r="BE236" s="72"/>
      <c r="BF236" s="72"/>
      <c r="BG236" s="72"/>
      <c r="BH236" s="72"/>
      <c r="BI236" s="72"/>
      <c r="BJ236" s="72"/>
      <c r="BK236" s="72"/>
      <c r="BL236" s="72"/>
      <c r="BM236" s="72"/>
      <c r="BN236" s="72"/>
      <c r="BO236" s="72"/>
      <c r="BP236" s="72"/>
      <c r="BQ236" s="72"/>
      <c r="BR236" s="72"/>
      <c r="BS236" s="72"/>
      <c r="BT236" s="72"/>
      <c r="BU236" s="72"/>
      <c r="BV236" s="72"/>
      <c r="BW236" s="72"/>
      <c r="BX236" s="72"/>
      <c r="BY236" s="72"/>
      <c r="BZ236" s="72"/>
      <c r="CA236" s="72"/>
      <c r="CB236" s="72"/>
      <c r="CC236" s="72"/>
      <c r="CD236" s="72"/>
      <c r="CE236" s="72"/>
    </row>
    <row r="237" spans="1:83" s="110" customFormat="1" ht="21" customHeight="1">
      <c r="A237" s="110" t="s">
        <v>200</v>
      </c>
      <c r="B237" s="110" t="s">
        <v>201</v>
      </c>
      <c r="M237" s="111"/>
      <c r="N237" s="112"/>
      <c r="Z237" s="156"/>
      <c r="AJ237" s="150"/>
      <c r="AK237" s="150"/>
      <c r="AL237" s="150"/>
      <c r="AM237" s="150"/>
      <c r="AN237" s="150"/>
      <c r="AO237" s="150"/>
      <c r="AP237" s="150"/>
      <c r="AQ237" s="150"/>
      <c r="AR237" s="150"/>
      <c r="AS237" s="150"/>
      <c r="AT237" s="150"/>
      <c r="AU237" s="150"/>
      <c r="AV237" s="150"/>
      <c r="AW237" s="150"/>
      <c r="AX237" s="150"/>
      <c r="AY237" s="150"/>
      <c r="AZ237" s="150"/>
      <c r="BA237" s="150"/>
      <c r="BB237" s="150"/>
      <c r="BC237" s="150"/>
      <c r="BD237" s="150"/>
      <c r="BE237" s="150"/>
      <c r="BF237" s="150"/>
      <c r="BG237" s="150"/>
      <c r="BH237" s="150"/>
      <c r="BI237" s="150"/>
      <c r="BJ237" s="150"/>
      <c r="BK237" s="150"/>
      <c r="BL237" s="150"/>
      <c r="BM237" s="150"/>
      <c r="BN237" s="150"/>
      <c r="BO237" s="150"/>
      <c r="BP237" s="150"/>
      <c r="BQ237" s="150"/>
      <c r="BR237" s="150"/>
      <c r="BS237" s="150"/>
      <c r="BT237" s="150"/>
      <c r="BU237" s="150"/>
      <c r="BV237" s="150"/>
      <c r="BW237" s="150"/>
      <c r="BX237" s="150"/>
      <c r="BY237" s="150"/>
      <c r="BZ237" s="150"/>
      <c r="CA237" s="150"/>
      <c r="CB237" s="150"/>
      <c r="CC237" s="150"/>
      <c r="CD237" s="150"/>
      <c r="CE237" s="150"/>
    </row>
    <row r="238" spans="1:83" ht="13">
      <c r="A238" s="72"/>
      <c r="B238" s="72"/>
      <c r="C238" s="72"/>
      <c r="D238" s="72"/>
      <c r="E238" s="72"/>
      <c r="F238" s="72"/>
      <c r="G238" s="72"/>
      <c r="H238" s="72"/>
      <c r="I238" s="72"/>
      <c r="J238" s="72"/>
      <c r="K238" s="72"/>
      <c r="L238" s="72"/>
      <c r="M238" s="72"/>
      <c r="N238" s="72"/>
      <c r="O238" s="72"/>
      <c r="P238" s="72"/>
      <c r="Q238" s="72"/>
      <c r="R238" s="72"/>
      <c r="S238" s="72"/>
      <c r="T238" s="72"/>
      <c r="U238" s="72"/>
      <c r="V238" s="72"/>
      <c r="W238" s="72"/>
      <c r="X238" s="72"/>
      <c r="Y238" s="72"/>
      <c r="AA238" s="91"/>
      <c r="AB238" s="91"/>
      <c r="AC238" s="72"/>
      <c r="AD238" s="72"/>
      <c r="AE238" s="72"/>
      <c r="AF238" s="72"/>
      <c r="AG238" s="72"/>
      <c r="AH238" s="72"/>
      <c r="AI238" s="72"/>
    </row>
    <row r="239" spans="1:83" ht="13">
      <c r="A239" s="72"/>
      <c r="B239" s="72"/>
      <c r="C239" s="74" t="s">
        <v>228</v>
      </c>
      <c r="D239" s="72"/>
      <c r="E239" s="72"/>
      <c r="F239" s="72"/>
      <c r="G239" s="72"/>
      <c r="H239" s="72"/>
      <c r="I239" s="72"/>
      <c r="J239" s="72"/>
      <c r="K239" s="72"/>
      <c r="L239" s="72"/>
      <c r="M239" s="72"/>
      <c r="N239" s="72"/>
      <c r="O239" s="72"/>
      <c r="P239" s="72"/>
      <c r="Q239" s="72"/>
      <c r="R239" s="72"/>
      <c r="S239" s="72"/>
      <c r="T239" s="72"/>
      <c r="U239" s="72"/>
      <c r="V239" s="72"/>
      <c r="W239" s="72"/>
      <c r="X239" s="72"/>
      <c r="Y239" s="72"/>
      <c r="AA239" s="91"/>
      <c r="AB239" s="91"/>
      <c r="AC239" s="72"/>
      <c r="AD239" s="72"/>
      <c r="AE239" s="72"/>
      <c r="AF239" s="72"/>
      <c r="AG239" s="72"/>
      <c r="AH239" s="72"/>
      <c r="AI239" s="72"/>
    </row>
    <row r="240" spans="1:83" ht="13">
      <c r="A240" s="72"/>
      <c r="B240" s="72"/>
      <c r="C240" s="72"/>
      <c r="D240" s="72"/>
      <c r="E240" s="72"/>
      <c r="F240" s="72"/>
      <c r="G240" s="72"/>
      <c r="H240" s="72"/>
      <c r="I240" s="72"/>
      <c r="J240" s="72"/>
      <c r="K240" s="72"/>
      <c r="L240" s="72"/>
      <c r="M240" s="72"/>
      <c r="N240" s="72"/>
      <c r="O240" s="72"/>
      <c r="P240" s="72"/>
      <c r="Q240" s="72"/>
      <c r="R240" s="72"/>
      <c r="S240" s="72"/>
      <c r="T240" s="72"/>
      <c r="U240" s="72"/>
      <c r="V240" s="72"/>
      <c r="W240" s="72"/>
      <c r="X240" s="72"/>
      <c r="Y240" s="72"/>
      <c r="AA240" s="91"/>
      <c r="AB240" s="91"/>
      <c r="AC240" s="72"/>
      <c r="AD240" s="72"/>
      <c r="AE240" s="72"/>
      <c r="AF240" s="72"/>
      <c r="AG240" s="72"/>
      <c r="AH240" s="72"/>
      <c r="AI240" s="72"/>
    </row>
    <row r="241" spans="1:83" ht="13">
      <c r="A241" s="72"/>
      <c r="B241" s="72"/>
      <c r="C241" s="72"/>
      <c r="D241" s="72"/>
      <c r="E241" s="74" t="s">
        <v>359</v>
      </c>
      <c r="F241" s="72"/>
      <c r="G241" s="72"/>
      <c r="H241" s="72"/>
      <c r="I241" s="72"/>
      <c r="J241" s="72"/>
      <c r="K241" s="72"/>
      <c r="L241" s="72"/>
      <c r="M241" s="72"/>
      <c r="N241" s="72"/>
      <c r="O241" s="72"/>
      <c r="P241" s="72"/>
      <c r="Q241" s="72"/>
      <c r="R241" s="72"/>
      <c r="S241" s="72"/>
      <c r="T241" s="72"/>
      <c r="U241" s="72"/>
      <c r="V241" s="72"/>
      <c r="W241" s="72"/>
      <c r="X241" s="72"/>
      <c r="Y241" s="72"/>
      <c r="AA241" s="91"/>
      <c r="AB241" s="91"/>
      <c r="AC241" s="72"/>
      <c r="AD241" s="72"/>
      <c r="AE241" s="72"/>
      <c r="AF241" s="72"/>
      <c r="AG241" s="72"/>
      <c r="AH241" s="72"/>
      <c r="AI241" s="72"/>
    </row>
    <row r="242" spans="1:83" ht="13">
      <c r="A242" s="72"/>
      <c r="B242" s="72"/>
      <c r="C242" s="72"/>
      <c r="D242" s="72"/>
      <c r="E242" s="72"/>
      <c r="F242" s="72"/>
      <c r="G242" s="72"/>
      <c r="H242" s="100" t="s">
        <v>226</v>
      </c>
      <c r="I242" s="72"/>
      <c r="J242" s="72"/>
      <c r="K242" s="105" t="s">
        <v>101</v>
      </c>
      <c r="L242" s="72"/>
      <c r="M242" s="72"/>
      <c r="N242" s="105" t="s">
        <v>102</v>
      </c>
      <c r="O242" s="72"/>
      <c r="P242" s="72"/>
      <c r="Q242" s="72"/>
      <c r="R242" s="72"/>
      <c r="S242" s="72"/>
      <c r="T242" s="72"/>
      <c r="U242" s="72"/>
      <c r="V242" s="72"/>
      <c r="W242" s="72"/>
      <c r="X242" s="72"/>
      <c r="Y242" s="72"/>
      <c r="AA242" s="91"/>
      <c r="AB242" s="91"/>
      <c r="AC242" s="72"/>
      <c r="AD242" s="72"/>
      <c r="AE242" s="72"/>
      <c r="AF242" s="72"/>
      <c r="AG242" s="72"/>
      <c r="AH242" s="72"/>
      <c r="AI242" s="72"/>
    </row>
    <row r="243" spans="1:83" ht="13">
      <c r="A243" s="165"/>
      <c r="B243" s="72"/>
      <c r="C243" s="72"/>
      <c r="D243" s="72"/>
      <c r="E243" s="105" t="s">
        <v>100</v>
      </c>
      <c r="F243" s="72"/>
      <c r="G243" s="72"/>
      <c r="H243" s="104">
        <f>+H26</f>
        <v>0</v>
      </c>
      <c r="I243" s="101" t="str">
        <f>+$H$18</f>
        <v>EUR</v>
      </c>
      <c r="J243" s="72"/>
      <c r="K243" s="15">
        <v>40</v>
      </c>
      <c r="L243" s="105" t="s">
        <v>85</v>
      </c>
      <c r="M243" s="72"/>
      <c r="N243" s="106">
        <f>SUM(H243/100*K243)</f>
        <v>0</v>
      </c>
      <c r="O243" s="72"/>
      <c r="P243" s="72"/>
      <c r="Q243" s="72"/>
      <c r="R243" s="72"/>
      <c r="S243" s="72"/>
      <c r="T243" s="72"/>
      <c r="U243" s="72"/>
      <c r="V243" s="72"/>
      <c r="W243" s="72"/>
      <c r="X243" s="72"/>
      <c r="Y243" s="72"/>
      <c r="AA243" s="91"/>
      <c r="AB243" s="91"/>
      <c r="AC243" s="72"/>
      <c r="AD243" s="72"/>
      <c r="AE243" s="72"/>
      <c r="AF243" s="72"/>
      <c r="AG243" s="72"/>
      <c r="AH243" s="72"/>
      <c r="AI243" s="72"/>
    </row>
    <row r="244" spans="1:83" ht="13.5" thickBot="1">
      <c r="A244" s="72"/>
      <c r="B244" s="72"/>
      <c r="C244" s="72"/>
      <c r="D244" s="72"/>
      <c r="E244" s="105" t="s">
        <v>103</v>
      </c>
      <c r="F244" s="72"/>
      <c r="H244" s="72"/>
      <c r="I244" s="72"/>
      <c r="J244" s="72"/>
      <c r="K244" s="15">
        <v>10</v>
      </c>
      <c r="L244" s="105" t="s">
        <v>85</v>
      </c>
      <c r="M244" s="72"/>
      <c r="N244" s="139">
        <f>SUM(N243/100*K244)</f>
        <v>0</v>
      </c>
      <c r="O244" s="88" t="str">
        <f>$H$18&amp;" added to Total Savings"</f>
        <v>EUR added to Total Savings</v>
      </c>
      <c r="P244" s="70"/>
      <c r="Q244" s="70"/>
      <c r="R244" s="89"/>
      <c r="S244" s="89"/>
      <c r="T244" s="89"/>
      <c r="U244" s="89"/>
      <c r="V244" s="89"/>
      <c r="W244" s="89"/>
      <c r="X244" s="89"/>
      <c r="Y244" s="89"/>
      <c r="Z244" s="157"/>
      <c r="AA244" s="132"/>
      <c r="AB244" s="132"/>
      <c r="AC244" s="89"/>
      <c r="AD244" s="72"/>
      <c r="AE244" s="72"/>
      <c r="AF244" s="72"/>
      <c r="AG244" s="72"/>
      <c r="AH244" s="72"/>
      <c r="AI244" s="72"/>
    </row>
    <row r="245" spans="1:83" ht="13.5" thickTop="1">
      <c r="A245" s="72"/>
      <c r="B245" s="72"/>
      <c r="C245" s="72"/>
      <c r="D245" s="72"/>
      <c r="E245" s="72"/>
      <c r="F245" s="72"/>
      <c r="G245" s="72"/>
      <c r="H245" s="72"/>
      <c r="I245" s="72"/>
      <c r="J245" s="72"/>
      <c r="K245" s="72"/>
      <c r="L245" s="72"/>
      <c r="M245" s="72"/>
      <c r="N245" s="72"/>
      <c r="O245" s="72"/>
      <c r="P245" s="72"/>
      <c r="Q245" s="72"/>
      <c r="R245" s="72"/>
      <c r="S245" s="72"/>
      <c r="T245" s="72"/>
      <c r="U245" s="72"/>
      <c r="V245" s="72"/>
      <c r="W245" s="72"/>
      <c r="X245" s="72"/>
      <c r="Y245" s="72"/>
      <c r="AA245" s="91"/>
      <c r="AB245" s="91"/>
      <c r="AC245" s="72"/>
      <c r="AD245" s="72"/>
      <c r="AE245" s="72"/>
      <c r="AF245" s="72"/>
      <c r="AG245" s="72"/>
      <c r="AH245" s="72"/>
      <c r="AI245" s="72"/>
    </row>
    <row r="246" spans="1:83" ht="13">
      <c r="A246" s="72"/>
      <c r="B246" s="72"/>
      <c r="C246" s="72"/>
      <c r="D246" s="72"/>
      <c r="E246" s="72"/>
      <c r="F246" s="72"/>
      <c r="G246" s="72"/>
      <c r="H246" s="72"/>
      <c r="I246" s="72"/>
      <c r="J246" s="72"/>
      <c r="K246" s="72"/>
      <c r="L246" s="72"/>
      <c r="M246" s="72"/>
      <c r="N246" s="72"/>
      <c r="O246" s="72"/>
      <c r="P246" s="72"/>
      <c r="Q246" s="72"/>
      <c r="R246" s="72"/>
      <c r="S246" s="72"/>
      <c r="T246" s="72"/>
      <c r="U246" s="72"/>
      <c r="V246" s="72"/>
      <c r="W246" s="72"/>
      <c r="X246" s="72"/>
      <c r="Y246" s="72"/>
      <c r="AA246" s="91"/>
      <c r="AB246" s="91"/>
      <c r="AC246" s="72"/>
      <c r="AD246" s="72"/>
      <c r="AE246" s="72"/>
      <c r="AF246" s="72"/>
      <c r="AG246" s="72"/>
      <c r="AH246" s="72"/>
      <c r="AI246" s="72"/>
    </row>
    <row r="247" spans="1:83" ht="13">
      <c r="A247" s="72"/>
      <c r="B247" s="72"/>
      <c r="C247" s="72"/>
      <c r="D247" s="72"/>
      <c r="E247" s="74" t="s">
        <v>358</v>
      </c>
      <c r="F247" s="72"/>
      <c r="G247" s="72"/>
      <c r="H247" s="72"/>
      <c r="I247" s="72"/>
      <c r="J247" s="72"/>
      <c r="K247" s="72"/>
      <c r="L247" s="72"/>
      <c r="M247" s="72"/>
      <c r="N247" s="72"/>
      <c r="O247" s="72"/>
      <c r="P247" s="72"/>
      <c r="Q247" s="72"/>
      <c r="R247" s="72"/>
      <c r="S247" s="72"/>
      <c r="T247" s="72"/>
      <c r="U247" s="72"/>
      <c r="V247" s="72"/>
      <c r="W247" s="72"/>
      <c r="X247" s="72"/>
      <c r="Y247" s="72"/>
      <c r="AA247" s="91"/>
      <c r="AB247" s="91"/>
      <c r="AC247" s="72"/>
      <c r="AD247" s="72"/>
      <c r="AE247" s="72"/>
      <c r="AF247" s="72"/>
      <c r="AG247" s="72"/>
      <c r="AH247" s="72"/>
      <c r="AI247" s="72"/>
    </row>
    <row r="248" spans="1:83" ht="13">
      <c r="A248" s="72"/>
      <c r="B248" s="75" t="s">
        <v>171</v>
      </c>
      <c r="C248" s="72"/>
      <c r="D248" s="72"/>
      <c r="E248" s="72"/>
      <c r="F248" s="72"/>
      <c r="G248" s="72"/>
      <c r="H248" s="97" t="s">
        <v>118</v>
      </c>
      <c r="I248" s="72"/>
      <c r="J248" s="72"/>
      <c r="K248" s="72" t="s">
        <v>176</v>
      </c>
      <c r="L248" s="72"/>
      <c r="M248" s="72"/>
      <c r="N248" s="72" t="s">
        <v>102</v>
      </c>
      <c r="O248" s="72"/>
      <c r="P248" s="72"/>
      <c r="Q248" s="72"/>
      <c r="R248" s="72"/>
      <c r="S248" s="72"/>
      <c r="T248" s="72"/>
      <c r="U248" s="72"/>
      <c r="V248" s="72"/>
      <c r="W248" s="72"/>
      <c r="X248" s="72"/>
      <c r="Y248" s="72"/>
      <c r="AA248" s="91"/>
      <c r="AB248" s="91"/>
      <c r="AC248" s="72"/>
      <c r="AD248" s="72"/>
      <c r="AE248" s="72"/>
      <c r="AF248" s="72"/>
      <c r="AG248" s="72"/>
      <c r="AH248" s="72"/>
      <c r="AI248" s="72"/>
    </row>
    <row r="249" spans="1:83" ht="13">
      <c r="A249" s="72"/>
      <c r="B249" s="72"/>
      <c r="C249" s="72"/>
      <c r="D249" s="72"/>
      <c r="E249" s="75" t="s">
        <v>227</v>
      </c>
      <c r="F249" s="72"/>
      <c r="G249" s="72"/>
      <c r="H249" s="104">
        <f>+H70</f>
        <v>0</v>
      </c>
      <c r="I249" s="101" t="str">
        <f>+$H$18</f>
        <v>EUR</v>
      </c>
      <c r="J249" s="72"/>
      <c r="K249" s="15">
        <v>30</v>
      </c>
      <c r="L249" s="72" t="s">
        <v>85</v>
      </c>
      <c r="M249" s="72"/>
      <c r="N249" s="106">
        <f>SUM(H249/100*K249)</f>
        <v>0</v>
      </c>
      <c r="O249" s="72"/>
      <c r="P249" s="72"/>
      <c r="Q249" s="72"/>
      <c r="R249" s="72"/>
      <c r="S249" s="72"/>
      <c r="T249" s="72"/>
      <c r="U249" s="72"/>
      <c r="V249" s="72"/>
      <c r="W249" s="72"/>
      <c r="X249" s="72"/>
      <c r="Y249" s="72"/>
      <c r="AA249" s="91"/>
      <c r="AB249" s="91"/>
      <c r="AC249" s="72"/>
      <c r="AD249" s="72"/>
      <c r="AE249" s="72"/>
      <c r="AF249" s="72"/>
      <c r="AG249" s="72"/>
      <c r="AH249" s="72"/>
      <c r="AI249" s="72"/>
    </row>
    <row r="250" spans="1:83" ht="13.5" thickBot="1">
      <c r="A250" s="72"/>
      <c r="B250" s="72"/>
      <c r="C250" s="72"/>
      <c r="D250" s="72"/>
      <c r="E250" s="72" t="s">
        <v>177</v>
      </c>
      <c r="F250" s="72"/>
      <c r="H250" s="72"/>
      <c r="I250" s="72"/>
      <c r="J250" s="72"/>
      <c r="K250" s="15">
        <v>10</v>
      </c>
      <c r="L250" s="72" t="s">
        <v>85</v>
      </c>
      <c r="M250" s="72"/>
      <c r="N250" s="139">
        <f>SUM(N249/100*K250)</f>
        <v>0</v>
      </c>
      <c r="O250" s="88" t="str">
        <f>$H$18&amp;" added to Total Savings"</f>
        <v>EUR added to Total Savings</v>
      </c>
      <c r="P250" s="70"/>
      <c r="Q250" s="70"/>
      <c r="R250" s="89"/>
      <c r="S250" s="89"/>
      <c r="T250" s="89"/>
      <c r="U250" s="89"/>
      <c r="V250" s="89"/>
      <c r="W250" s="89"/>
      <c r="X250" s="89"/>
      <c r="Y250" s="89"/>
      <c r="Z250" s="157"/>
      <c r="AA250" s="132"/>
      <c r="AB250" s="132"/>
      <c r="AC250" s="89"/>
      <c r="AD250" s="72"/>
      <c r="AE250" s="72"/>
      <c r="AF250" s="72"/>
      <c r="AG250" s="72"/>
      <c r="AH250" s="72"/>
      <c r="AI250" s="72"/>
    </row>
    <row r="251" spans="1:83" ht="13.5" thickTop="1">
      <c r="A251" s="72"/>
      <c r="B251" s="72"/>
      <c r="C251" s="72"/>
      <c r="D251" s="72"/>
      <c r="E251" s="72"/>
      <c r="F251" s="72"/>
      <c r="G251" s="72"/>
      <c r="H251" s="72"/>
      <c r="I251" s="72"/>
      <c r="J251" s="72"/>
      <c r="K251" s="72"/>
      <c r="L251" s="72"/>
      <c r="M251" s="72"/>
      <c r="N251" s="72"/>
      <c r="O251" s="72"/>
      <c r="P251" s="72"/>
      <c r="Q251" s="72"/>
      <c r="R251" s="72"/>
      <c r="S251" s="72"/>
      <c r="T251" s="72"/>
      <c r="U251" s="72"/>
      <c r="V251" s="72"/>
      <c r="W251" s="72"/>
      <c r="X251" s="72"/>
      <c r="Y251" s="72"/>
      <c r="AA251" s="91"/>
      <c r="AB251" s="91"/>
      <c r="AC251" s="72"/>
      <c r="AD251" s="72"/>
      <c r="AE251" s="72"/>
      <c r="AF251" s="72"/>
      <c r="AG251" s="72"/>
      <c r="AH251" s="72"/>
      <c r="AI251" s="72"/>
    </row>
    <row r="252" spans="1:83" ht="13">
      <c r="A252" s="72"/>
      <c r="B252" s="72"/>
      <c r="C252" s="72"/>
      <c r="D252" s="72"/>
      <c r="E252" s="72"/>
      <c r="F252" s="72"/>
      <c r="G252" s="72"/>
      <c r="H252" s="72"/>
      <c r="I252" s="72"/>
      <c r="J252" s="72"/>
      <c r="K252" s="72"/>
      <c r="L252" s="72"/>
      <c r="M252" s="72"/>
      <c r="N252" s="72"/>
      <c r="O252" s="72"/>
      <c r="P252" s="72"/>
      <c r="Q252" s="72"/>
      <c r="R252" s="72"/>
      <c r="S252" s="72"/>
      <c r="T252" s="72"/>
      <c r="U252" s="72"/>
      <c r="V252" s="72"/>
      <c r="W252" s="72"/>
      <c r="X252" s="72"/>
      <c r="Y252" s="72"/>
      <c r="AA252" s="91"/>
      <c r="AB252" s="91"/>
      <c r="AC252" s="72"/>
      <c r="AD252" s="72"/>
      <c r="AE252" s="72"/>
      <c r="AF252" s="72"/>
      <c r="AG252" s="72"/>
      <c r="AH252" s="72"/>
      <c r="AI252" s="72"/>
    </row>
    <row r="253" spans="1:83" s="52" customFormat="1" ht="7" customHeight="1">
      <c r="M253" s="53"/>
      <c r="N253" s="54"/>
      <c r="Z253" s="153"/>
      <c r="AJ253" s="72"/>
      <c r="AK253" s="72"/>
      <c r="AL253" s="72"/>
      <c r="AM253" s="72"/>
      <c r="AN253" s="72"/>
      <c r="AO253" s="72"/>
      <c r="AP253" s="72"/>
      <c r="AQ253" s="72"/>
      <c r="AR253" s="72"/>
      <c r="AS253" s="72"/>
      <c r="AT253" s="72"/>
      <c r="AU253" s="72"/>
      <c r="AV253" s="72"/>
      <c r="AW253" s="72"/>
      <c r="AX253" s="72"/>
      <c r="AY253" s="72"/>
      <c r="AZ253" s="72"/>
      <c r="BA253" s="72"/>
      <c r="BB253" s="72"/>
      <c r="BC253" s="72"/>
      <c r="BD253" s="72"/>
      <c r="BE253" s="72"/>
      <c r="BF253" s="72"/>
      <c r="BG253" s="72"/>
      <c r="BH253" s="72"/>
      <c r="BI253" s="72"/>
      <c r="BJ253" s="72"/>
      <c r="BK253" s="72"/>
      <c r="BL253" s="72"/>
      <c r="BM253" s="72"/>
      <c r="BN253" s="72"/>
      <c r="BO253" s="72"/>
      <c r="BP253" s="72"/>
      <c r="BQ253" s="72"/>
      <c r="BR253" s="72"/>
      <c r="BS253" s="72"/>
      <c r="BT253" s="72"/>
      <c r="BU253" s="72"/>
      <c r="BV253" s="72"/>
      <c r="BW253" s="72"/>
      <c r="BX253" s="72"/>
      <c r="BY253" s="72"/>
      <c r="BZ253" s="72"/>
      <c r="CA253" s="72"/>
      <c r="CB253" s="72"/>
      <c r="CC253" s="72"/>
      <c r="CD253" s="72"/>
      <c r="CE253" s="72"/>
    </row>
    <row r="254" spans="1:83" s="110" customFormat="1" ht="20" customHeight="1">
      <c r="A254" s="110" t="s">
        <v>202</v>
      </c>
      <c r="B254" s="110" t="s">
        <v>203</v>
      </c>
      <c r="M254" s="111"/>
      <c r="N254" s="112"/>
      <c r="Z254" s="156"/>
      <c r="AJ254" s="150"/>
      <c r="AK254" s="150"/>
      <c r="AL254" s="150"/>
      <c r="AM254" s="150"/>
      <c r="AN254" s="150"/>
      <c r="AO254" s="150"/>
      <c r="AP254" s="150"/>
      <c r="AQ254" s="150"/>
      <c r="AR254" s="150"/>
      <c r="AS254" s="150"/>
      <c r="AT254" s="150"/>
      <c r="AU254" s="150"/>
      <c r="AV254" s="150"/>
      <c r="AW254" s="150"/>
      <c r="AX254" s="150"/>
      <c r="AY254" s="150"/>
      <c r="AZ254" s="150"/>
      <c r="BA254" s="150"/>
      <c r="BB254" s="150"/>
      <c r="BC254" s="150"/>
      <c r="BD254" s="150"/>
      <c r="BE254" s="150"/>
      <c r="BF254" s="150"/>
      <c r="BG254" s="150"/>
      <c r="BH254" s="150"/>
      <c r="BI254" s="150"/>
      <c r="BJ254" s="150"/>
      <c r="BK254" s="150"/>
      <c r="BL254" s="150"/>
      <c r="BM254" s="150"/>
      <c r="BN254" s="150"/>
      <c r="BO254" s="150"/>
      <c r="BP254" s="150"/>
      <c r="BQ254" s="150"/>
      <c r="BR254" s="150"/>
      <c r="BS254" s="150"/>
      <c r="BT254" s="150"/>
      <c r="BU254" s="150"/>
      <c r="BV254" s="150"/>
      <c r="BW254" s="150"/>
      <c r="BX254" s="150"/>
      <c r="BY254" s="150"/>
      <c r="BZ254" s="150"/>
      <c r="CA254" s="150"/>
      <c r="CB254" s="150"/>
      <c r="CC254" s="150"/>
      <c r="CD254" s="150"/>
      <c r="CE254" s="150"/>
    </row>
    <row r="255" spans="1:83" ht="13">
      <c r="A255" s="72"/>
      <c r="B255" s="72"/>
      <c r="C255" s="72"/>
      <c r="D255" s="72"/>
      <c r="E255" s="72"/>
      <c r="F255" s="72"/>
      <c r="G255" s="72"/>
      <c r="H255" s="72"/>
      <c r="I255" s="72"/>
      <c r="J255" s="72"/>
      <c r="K255" s="72"/>
      <c r="L255" s="72"/>
      <c r="M255" s="72"/>
      <c r="N255" s="72"/>
      <c r="O255" s="72"/>
      <c r="P255" s="72"/>
      <c r="Q255" s="72"/>
      <c r="R255" s="72"/>
      <c r="S255" s="72"/>
      <c r="T255" s="72"/>
      <c r="U255" s="72"/>
      <c r="V255" s="72"/>
      <c r="W255" s="72"/>
      <c r="X255" s="72"/>
      <c r="Y255" s="72"/>
      <c r="AA255" s="91"/>
      <c r="AB255" s="91"/>
      <c r="AC255" s="72"/>
      <c r="AD255" s="72"/>
      <c r="AE255" s="72"/>
      <c r="AF255" s="72"/>
      <c r="AG255" s="72"/>
      <c r="AH255" s="72"/>
      <c r="AI255" s="72"/>
    </row>
    <row r="256" spans="1:83" ht="15.5">
      <c r="A256" s="72"/>
      <c r="B256" s="142"/>
      <c r="C256" s="72"/>
      <c r="D256" s="72"/>
      <c r="E256" s="72"/>
      <c r="F256" s="72"/>
      <c r="G256" s="72"/>
      <c r="H256" s="72"/>
      <c r="I256" s="72"/>
      <c r="J256" s="72"/>
      <c r="K256" s="72"/>
      <c r="L256" s="72"/>
      <c r="M256" s="72"/>
      <c r="N256" s="72"/>
      <c r="O256" s="72"/>
      <c r="P256" s="72"/>
      <c r="Q256" s="72"/>
      <c r="R256" s="72"/>
      <c r="S256" s="72"/>
      <c r="T256" s="72"/>
      <c r="U256" s="72"/>
      <c r="V256" s="72"/>
      <c r="W256" s="72"/>
      <c r="X256" s="72"/>
      <c r="Y256" s="72"/>
      <c r="AA256" s="91"/>
      <c r="AB256" s="91"/>
      <c r="AC256" s="72"/>
      <c r="AD256" s="72"/>
      <c r="AE256" s="72"/>
      <c r="AF256" s="72"/>
      <c r="AG256" s="72"/>
      <c r="AH256" s="72"/>
      <c r="AI256" s="72"/>
    </row>
    <row r="257" spans="1:35" ht="13">
      <c r="A257" s="72"/>
      <c r="B257" s="72"/>
      <c r="C257" s="72"/>
      <c r="D257" s="72"/>
      <c r="E257" s="72"/>
      <c r="F257" s="72"/>
      <c r="G257" s="72"/>
      <c r="H257" s="72"/>
      <c r="I257" s="72"/>
      <c r="J257" s="72"/>
      <c r="K257" s="72"/>
      <c r="L257" s="72"/>
      <c r="M257" s="72"/>
      <c r="N257" s="72"/>
      <c r="O257" s="72"/>
      <c r="P257" s="72"/>
      <c r="Q257" s="72"/>
      <c r="R257" s="72"/>
      <c r="S257" s="72"/>
      <c r="T257" s="153"/>
      <c r="U257" s="153"/>
      <c r="V257" s="153"/>
      <c r="W257" s="72"/>
      <c r="X257" s="72"/>
      <c r="Y257" s="72"/>
      <c r="AA257" s="91"/>
      <c r="AB257" s="91"/>
      <c r="AC257" s="72"/>
      <c r="AD257" s="72"/>
      <c r="AE257" s="72"/>
      <c r="AF257" s="72"/>
      <c r="AG257" s="72"/>
      <c r="AH257" s="72"/>
      <c r="AI257" s="72"/>
    </row>
    <row r="258" spans="1:35" ht="13">
      <c r="A258" s="72"/>
      <c r="B258" s="74" t="s">
        <v>354</v>
      </c>
      <c r="C258" s="74" t="s">
        <v>147</v>
      </c>
      <c r="D258" s="72"/>
      <c r="E258" s="72"/>
      <c r="F258" s="72"/>
      <c r="G258" s="72"/>
      <c r="H258" s="72"/>
      <c r="I258" s="72"/>
      <c r="J258" s="72"/>
      <c r="K258" s="72"/>
      <c r="L258" s="72"/>
      <c r="M258" s="72"/>
      <c r="N258" s="72"/>
      <c r="O258" s="72"/>
      <c r="P258" s="72"/>
      <c r="Q258" s="72"/>
      <c r="R258" s="72"/>
      <c r="S258" s="72"/>
      <c r="T258" s="155" t="s">
        <v>258</v>
      </c>
      <c r="U258" s="153"/>
      <c r="V258" s="153"/>
      <c r="W258" s="72"/>
      <c r="X258" s="72"/>
      <c r="Y258" s="72"/>
      <c r="AA258" s="91"/>
      <c r="AB258" s="91"/>
      <c r="AC258" s="72"/>
      <c r="AD258" s="72"/>
      <c r="AE258" s="72"/>
      <c r="AF258" s="72"/>
      <c r="AG258" s="72"/>
      <c r="AH258" s="72"/>
      <c r="AI258" s="72"/>
    </row>
    <row r="259" spans="1:35" ht="13">
      <c r="A259" s="72"/>
      <c r="B259" s="72"/>
      <c r="C259" s="72"/>
      <c r="D259" s="72"/>
      <c r="E259" s="72"/>
      <c r="F259" s="72"/>
      <c r="G259" s="72"/>
      <c r="H259" s="105" t="s">
        <v>134</v>
      </c>
      <c r="I259" s="105" t="s">
        <v>132</v>
      </c>
      <c r="J259" s="72"/>
      <c r="K259" s="72"/>
      <c r="L259" s="72"/>
      <c r="M259" s="72"/>
      <c r="N259" s="72"/>
      <c r="O259" s="72"/>
      <c r="P259" s="72"/>
      <c r="Q259" s="72"/>
      <c r="R259" s="72"/>
      <c r="S259" s="72"/>
      <c r="T259" s="155" t="s">
        <v>257</v>
      </c>
      <c r="U259" s="153"/>
      <c r="V259" s="153"/>
      <c r="W259" s="72"/>
      <c r="X259" s="72"/>
      <c r="Y259" s="72"/>
      <c r="AA259" s="91"/>
      <c r="AB259" s="91"/>
      <c r="AC259" s="72"/>
      <c r="AD259" s="72"/>
      <c r="AE259" s="72"/>
      <c r="AF259" s="72"/>
      <c r="AG259" s="72"/>
      <c r="AH259" s="72"/>
      <c r="AI259" s="72"/>
    </row>
    <row r="260" spans="1:35" ht="13">
      <c r="A260" s="72"/>
      <c r="B260" s="72"/>
      <c r="C260" s="105" t="s">
        <v>133</v>
      </c>
      <c r="D260" s="72"/>
      <c r="E260" s="72"/>
      <c r="F260" s="72"/>
      <c r="G260" s="72"/>
      <c r="H260" s="7">
        <f>+H34</f>
        <v>1</v>
      </c>
      <c r="I260" s="43">
        <v>3</v>
      </c>
      <c r="J260" s="72"/>
      <c r="L260" s="72"/>
      <c r="M260" s="7">
        <f>SUM(H260*T260)</f>
        <v>0</v>
      </c>
      <c r="N260" s="72" t="s">
        <v>125</v>
      </c>
      <c r="O260" s="72"/>
      <c r="P260" s="72"/>
      <c r="Q260" s="72"/>
      <c r="R260" s="72"/>
      <c r="S260" s="72"/>
      <c r="T260" s="237">
        <f>IF(H$22&gt;0,I260,0)</f>
        <v>0</v>
      </c>
      <c r="U260" s="153"/>
      <c r="V260" s="153"/>
      <c r="W260" s="72"/>
      <c r="X260" s="72"/>
      <c r="Y260" s="72"/>
      <c r="AA260" s="91"/>
      <c r="AB260" s="91"/>
      <c r="AC260" s="72"/>
      <c r="AD260" s="72"/>
      <c r="AE260" s="72"/>
      <c r="AF260" s="72"/>
      <c r="AG260" s="72"/>
      <c r="AH260" s="72"/>
      <c r="AI260" s="72"/>
    </row>
    <row r="261" spans="1:35" ht="13">
      <c r="A261" s="72"/>
      <c r="B261" s="72"/>
      <c r="C261" s="72" t="s">
        <v>126</v>
      </c>
      <c r="D261" s="72"/>
      <c r="E261" s="72"/>
      <c r="F261" s="72"/>
      <c r="G261" s="72"/>
      <c r="H261" s="7">
        <f>+H36</f>
        <v>1</v>
      </c>
      <c r="I261" s="43">
        <v>2</v>
      </c>
      <c r="J261" s="72"/>
      <c r="K261" s="72"/>
      <c r="L261" s="72"/>
      <c r="M261" s="7">
        <f>SUM(H261*T261)</f>
        <v>0</v>
      </c>
      <c r="N261" s="72" t="s">
        <v>125</v>
      </c>
      <c r="O261" s="72"/>
      <c r="P261" s="72"/>
      <c r="Q261" s="72"/>
      <c r="R261" s="72"/>
      <c r="S261" s="72"/>
      <c r="T261" s="237">
        <f>IF(H$22&gt;0,I261,0)</f>
        <v>0</v>
      </c>
      <c r="U261" s="153"/>
      <c r="V261" s="153"/>
      <c r="W261" s="72"/>
      <c r="X261" s="72"/>
      <c r="Y261" s="72"/>
      <c r="AA261" s="91"/>
      <c r="AB261" s="91"/>
      <c r="AC261" s="72"/>
      <c r="AD261" s="72"/>
      <c r="AE261" s="72"/>
      <c r="AF261" s="72"/>
      <c r="AG261" s="72"/>
      <c r="AH261" s="72"/>
      <c r="AI261" s="72"/>
    </row>
    <row r="262" spans="1:35" ht="13">
      <c r="A262" s="72"/>
      <c r="B262" s="72"/>
      <c r="C262" s="72"/>
      <c r="D262" s="72"/>
      <c r="E262" s="72"/>
      <c r="F262" s="72"/>
      <c r="G262" s="72"/>
      <c r="H262" s="105" t="s">
        <v>14</v>
      </c>
      <c r="I262" s="105" t="s">
        <v>135</v>
      </c>
      <c r="J262" s="72"/>
      <c r="K262" s="72"/>
      <c r="L262" s="72"/>
      <c r="M262" s="72"/>
      <c r="N262" s="72"/>
      <c r="O262" s="72"/>
      <c r="P262" s="72"/>
      <c r="Q262" s="72"/>
      <c r="R262" s="72"/>
      <c r="S262" s="72"/>
      <c r="T262" s="153"/>
      <c r="U262" s="153"/>
      <c r="V262" s="153"/>
      <c r="W262" s="72"/>
      <c r="X262" s="72"/>
      <c r="Y262" s="72"/>
      <c r="AA262" s="91"/>
      <c r="AB262" s="91"/>
      <c r="AC262" s="72"/>
      <c r="AD262" s="72"/>
      <c r="AE262" s="72"/>
      <c r="AF262" s="72"/>
      <c r="AG262" s="72"/>
      <c r="AH262" s="72"/>
      <c r="AI262" s="72"/>
    </row>
    <row r="263" spans="1:35" ht="13">
      <c r="A263" s="72"/>
      <c r="B263" s="72"/>
      <c r="C263" s="105" t="s">
        <v>136</v>
      </c>
      <c r="D263" s="72"/>
      <c r="E263" s="72"/>
      <c r="F263" s="72"/>
      <c r="G263" s="72"/>
      <c r="H263" s="233">
        <f>+H99+K99</f>
        <v>0</v>
      </c>
      <c r="I263" s="234">
        <v>30</v>
      </c>
      <c r="J263" s="72"/>
      <c r="K263" s="106">
        <f>SUM(H263*I263)</f>
        <v>0</v>
      </c>
      <c r="L263" s="72"/>
      <c r="M263" s="7">
        <f>SUM(K263/1440)</f>
        <v>0</v>
      </c>
      <c r="N263" s="105" t="s">
        <v>125</v>
      </c>
      <c r="O263" s="72"/>
      <c r="P263" s="72"/>
      <c r="Q263" s="72"/>
      <c r="R263" s="72"/>
      <c r="S263" s="72"/>
      <c r="T263" s="153"/>
      <c r="U263" s="153"/>
      <c r="V263" s="153"/>
      <c r="W263" s="72"/>
      <c r="X263" s="72"/>
      <c r="Y263" s="72"/>
      <c r="AA263" s="91"/>
      <c r="AB263" s="91"/>
      <c r="AC263" s="72"/>
      <c r="AD263" s="72"/>
      <c r="AE263" s="72"/>
      <c r="AF263" s="72"/>
      <c r="AG263" s="72"/>
      <c r="AH263" s="72"/>
      <c r="AI263" s="72"/>
    </row>
    <row r="264" spans="1:35" ht="13">
      <c r="A264" s="72"/>
      <c r="B264" s="72"/>
      <c r="C264" s="72" t="s">
        <v>127</v>
      </c>
      <c r="D264" s="72"/>
      <c r="E264" s="72"/>
      <c r="F264" s="72"/>
      <c r="G264" s="72"/>
      <c r="H264" s="72"/>
      <c r="I264" s="72"/>
      <c r="J264" s="72"/>
      <c r="K264" s="72"/>
      <c r="L264" s="72"/>
      <c r="M264" s="43">
        <v>0</v>
      </c>
      <c r="N264" s="72" t="s">
        <v>125</v>
      </c>
      <c r="O264" s="72"/>
      <c r="P264" s="72"/>
      <c r="Q264" s="72"/>
      <c r="R264" s="72"/>
      <c r="S264" s="72"/>
      <c r="T264" s="153"/>
      <c r="U264" s="153"/>
      <c r="V264" s="153"/>
      <c r="W264" s="72"/>
      <c r="X264" s="72"/>
      <c r="Y264" s="72"/>
      <c r="AA264" s="91"/>
      <c r="AB264" s="91"/>
      <c r="AC264" s="72"/>
      <c r="AD264" s="72"/>
      <c r="AE264" s="72"/>
      <c r="AF264" s="72"/>
      <c r="AG264" s="72"/>
      <c r="AH264" s="72"/>
      <c r="AI264" s="72"/>
    </row>
    <row r="265" spans="1:35" ht="13">
      <c r="A265" s="72"/>
      <c r="B265" s="72"/>
      <c r="C265" s="136" t="s">
        <v>128</v>
      </c>
      <c r="D265" s="136"/>
      <c r="E265" s="136"/>
      <c r="F265" s="136"/>
      <c r="G265" s="136"/>
      <c r="H265" s="136"/>
      <c r="I265" s="136"/>
      <c r="J265" s="136"/>
      <c r="K265" s="136"/>
      <c r="L265" s="136"/>
      <c r="M265" s="144">
        <v>0</v>
      </c>
      <c r="N265" s="136" t="s">
        <v>125</v>
      </c>
      <c r="O265" s="72"/>
      <c r="P265" s="72"/>
      <c r="Q265" s="72"/>
      <c r="R265" s="72"/>
      <c r="S265" s="72"/>
      <c r="T265" s="153"/>
      <c r="U265" s="153"/>
      <c r="V265" s="153"/>
      <c r="W265" s="72"/>
      <c r="X265" s="72"/>
      <c r="Y265" s="72"/>
      <c r="AA265" s="91"/>
      <c r="AB265" s="91"/>
      <c r="AC265" s="72"/>
      <c r="AD265" s="72"/>
      <c r="AE265" s="72"/>
      <c r="AF265" s="72"/>
      <c r="AG265" s="72"/>
      <c r="AH265" s="72"/>
      <c r="AI265" s="72"/>
    </row>
    <row r="266" spans="1:35" ht="13">
      <c r="A266" s="72"/>
      <c r="B266" s="72"/>
      <c r="C266" s="72"/>
      <c r="D266" s="72"/>
      <c r="E266" s="72"/>
      <c r="F266" s="72"/>
      <c r="G266" s="72"/>
      <c r="H266" s="72"/>
      <c r="I266" s="72" t="s">
        <v>27</v>
      </c>
      <c r="J266" s="72"/>
      <c r="K266" s="72"/>
      <c r="L266" s="72"/>
      <c r="M266" s="6">
        <f>SUM(M260:M265)</f>
        <v>0</v>
      </c>
      <c r="N266" s="72" t="s">
        <v>125</v>
      </c>
      <c r="O266" s="72"/>
      <c r="P266" s="72"/>
      <c r="Q266" s="72"/>
      <c r="R266" s="72"/>
      <c r="S266" s="72"/>
      <c r="T266" s="153"/>
      <c r="U266" s="153"/>
      <c r="V266" s="153"/>
      <c r="W266" s="72"/>
      <c r="X266" s="72"/>
      <c r="Y266" s="72"/>
      <c r="AA266" s="91"/>
      <c r="AB266" s="91"/>
      <c r="AC266" s="72"/>
      <c r="AD266" s="72"/>
      <c r="AE266" s="72"/>
      <c r="AF266" s="72"/>
      <c r="AG266" s="72"/>
      <c r="AH266" s="72"/>
      <c r="AI266" s="72"/>
    </row>
    <row r="267" spans="1:35" ht="13">
      <c r="A267" s="72"/>
      <c r="B267" s="72"/>
      <c r="C267" s="121" t="s">
        <v>137</v>
      </c>
      <c r="D267" s="72"/>
      <c r="E267" s="72"/>
      <c r="F267" s="72"/>
      <c r="G267" s="72"/>
      <c r="H267" s="72"/>
      <c r="I267" s="72"/>
      <c r="J267" s="72"/>
      <c r="K267" s="72"/>
      <c r="L267" s="72"/>
      <c r="M267" s="72"/>
      <c r="N267" s="72"/>
      <c r="O267" s="72"/>
      <c r="P267" s="72"/>
      <c r="Q267" s="72"/>
      <c r="R267" s="72"/>
      <c r="S267" s="72"/>
      <c r="T267" s="72"/>
      <c r="U267" s="72"/>
      <c r="V267" s="72"/>
      <c r="W267" s="72"/>
      <c r="X267" s="72"/>
      <c r="Y267" s="72"/>
      <c r="AA267" s="91"/>
      <c r="AB267" s="91"/>
      <c r="AC267" s="72"/>
      <c r="AD267" s="72"/>
      <c r="AE267" s="72"/>
      <c r="AF267" s="72"/>
      <c r="AG267" s="72"/>
      <c r="AH267" s="72"/>
      <c r="AI267" s="72"/>
    </row>
    <row r="268" spans="1:35" ht="13">
      <c r="A268" s="72"/>
      <c r="B268" s="72"/>
      <c r="C268" s="72"/>
      <c r="D268" s="72"/>
      <c r="E268" s="72"/>
      <c r="F268" s="72"/>
      <c r="G268" s="72"/>
      <c r="H268" s="72"/>
      <c r="I268" s="72"/>
      <c r="J268" s="72"/>
      <c r="K268" s="72"/>
      <c r="L268" s="72"/>
      <c r="M268" s="72"/>
      <c r="N268" s="72"/>
      <c r="O268" s="72"/>
      <c r="P268" s="72"/>
      <c r="Q268" s="72"/>
      <c r="R268" s="72"/>
      <c r="S268" s="72"/>
      <c r="T268" s="72"/>
      <c r="U268" s="72"/>
      <c r="V268" s="72"/>
      <c r="W268" s="72"/>
      <c r="X268" s="72"/>
      <c r="Y268" s="72"/>
      <c r="AA268" s="91"/>
      <c r="AB268" s="91"/>
      <c r="AC268" s="72"/>
      <c r="AD268" s="72"/>
      <c r="AE268" s="72"/>
      <c r="AF268" s="72"/>
      <c r="AG268" s="72"/>
      <c r="AH268" s="72"/>
      <c r="AI268" s="72"/>
    </row>
    <row r="269" spans="1:35" ht="13">
      <c r="A269" s="72"/>
      <c r="B269" s="72"/>
      <c r="C269" s="72"/>
      <c r="D269" s="72"/>
      <c r="E269" s="72"/>
      <c r="F269" s="72"/>
      <c r="G269" s="105" t="s">
        <v>140</v>
      </c>
      <c r="H269" s="72"/>
      <c r="I269" s="72"/>
      <c r="J269" s="72"/>
      <c r="K269" s="72"/>
      <c r="L269" s="72"/>
      <c r="M269" s="7">
        <f>SUM(H270*J270)</f>
        <v>350</v>
      </c>
      <c r="N269" s="101" t="str">
        <f>+$H$18&amp;" per FTE/Day"</f>
        <v>EUR per FTE/Day</v>
      </c>
      <c r="O269" s="72"/>
      <c r="P269" s="72"/>
      <c r="Q269" s="72"/>
      <c r="R269" s="72"/>
      <c r="S269" s="72"/>
      <c r="T269" s="72"/>
      <c r="U269" s="72"/>
      <c r="V269" s="72"/>
      <c r="W269" s="72"/>
      <c r="X269" s="72"/>
      <c r="Y269" s="72"/>
      <c r="AA269" s="91"/>
      <c r="AB269" s="91"/>
      <c r="AC269" s="72"/>
      <c r="AD269" s="72"/>
      <c r="AE269" s="72"/>
      <c r="AF269" s="72"/>
      <c r="AG269" s="72"/>
      <c r="AH269" s="72"/>
      <c r="AI269" s="72"/>
    </row>
    <row r="270" spans="1:35" ht="13">
      <c r="A270" s="72"/>
      <c r="B270" s="72"/>
      <c r="C270" s="72"/>
      <c r="D270" s="72"/>
      <c r="E270" s="72"/>
      <c r="F270" s="72"/>
      <c r="G270" s="75" t="s">
        <v>261</v>
      </c>
      <c r="H270" s="16">
        <v>7</v>
      </c>
      <c r="I270" s="75" t="s">
        <v>262</v>
      </c>
      <c r="J270" s="25">
        <f>+N36</f>
        <v>50</v>
      </c>
      <c r="K270" s="101" t="str">
        <f>+$H$18</f>
        <v>EUR</v>
      </c>
      <c r="L270" s="72"/>
      <c r="M270" s="72"/>
      <c r="N270" s="72"/>
      <c r="O270" s="72"/>
      <c r="P270" s="72"/>
      <c r="Q270" s="72"/>
      <c r="R270" s="72"/>
      <c r="S270" s="72"/>
      <c r="T270" s="72"/>
      <c r="U270" s="72"/>
      <c r="V270" s="72"/>
      <c r="W270" s="72"/>
      <c r="X270" s="72"/>
      <c r="Y270" s="72"/>
      <c r="AA270" s="91"/>
      <c r="AB270" s="91"/>
      <c r="AC270" s="72"/>
      <c r="AD270" s="72"/>
      <c r="AE270" s="72"/>
      <c r="AF270" s="72"/>
      <c r="AG270" s="72"/>
      <c r="AH270" s="72"/>
      <c r="AI270" s="72"/>
    </row>
    <row r="271" spans="1:35" ht="13">
      <c r="A271" s="72"/>
      <c r="B271" s="72"/>
      <c r="C271" s="72" t="s">
        <v>129</v>
      </c>
      <c r="D271" s="72"/>
      <c r="E271" s="72"/>
      <c r="F271" s="72"/>
      <c r="G271" s="72"/>
      <c r="H271" s="72"/>
      <c r="I271" s="72"/>
      <c r="J271" s="72"/>
      <c r="K271" s="72"/>
      <c r="L271" s="72"/>
      <c r="M271" s="7">
        <f>SUM(M269*M266)</f>
        <v>0</v>
      </c>
      <c r="N271" s="101" t="str">
        <f>+$H$18</f>
        <v>EUR</v>
      </c>
      <c r="O271" s="72"/>
      <c r="P271" s="72"/>
      <c r="Q271" s="72"/>
      <c r="R271" s="72"/>
      <c r="S271" s="72"/>
      <c r="T271" s="72"/>
      <c r="U271" s="72"/>
      <c r="V271" s="72"/>
      <c r="W271" s="72"/>
      <c r="X271" s="72"/>
      <c r="Y271" s="72"/>
      <c r="AA271" s="91"/>
      <c r="AB271" s="91"/>
      <c r="AC271" s="72"/>
      <c r="AD271" s="72"/>
      <c r="AE271" s="72"/>
      <c r="AF271" s="72"/>
      <c r="AG271" s="72"/>
      <c r="AH271" s="72"/>
      <c r="AI271" s="72"/>
    </row>
    <row r="272" spans="1:35" ht="13">
      <c r="A272" s="72"/>
      <c r="B272" s="72"/>
      <c r="C272" s="105" t="s">
        <v>138</v>
      </c>
      <c r="D272" s="72"/>
      <c r="E272" s="72"/>
      <c r="F272" s="72"/>
      <c r="G272" s="72"/>
      <c r="H272" s="72"/>
      <c r="I272" s="72"/>
      <c r="J272" s="72"/>
      <c r="K272" s="72"/>
      <c r="L272" s="72"/>
      <c r="M272" s="7">
        <v>0</v>
      </c>
      <c r="N272" s="101" t="str">
        <f>+$H$18</f>
        <v>EUR</v>
      </c>
      <c r="O272" s="72"/>
      <c r="P272" s="72"/>
      <c r="Q272" s="72"/>
      <c r="R272" s="72"/>
      <c r="S272" s="72"/>
      <c r="T272" s="72"/>
      <c r="U272" s="72"/>
      <c r="V272" s="72"/>
      <c r="W272" s="72"/>
      <c r="X272" s="72"/>
      <c r="Y272" s="72"/>
      <c r="AA272" s="91"/>
      <c r="AB272" s="91"/>
      <c r="AC272" s="72"/>
      <c r="AD272" s="72"/>
      <c r="AE272" s="72"/>
      <c r="AF272" s="72"/>
      <c r="AG272" s="72"/>
      <c r="AH272" s="72"/>
      <c r="AI272" s="72"/>
    </row>
    <row r="273" spans="1:83" ht="13">
      <c r="A273" s="72"/>
      <c r="B273" s="72"/>
      <c r="C273" s="105"/>
      <c r="D273" s="72"/>
      <c r="E273" s="72"/>
      <c r="F273" s="72"/>
      <c r="G273" s="72"/>
      <c r="H273" s="72"/>
      <c r="I273" s="72"/>
      <c r="J273" s="72"/>
      <c r="K273" s="72"/>
      <c r="L273" s="72"/>
      <c r="M273" s="72"/>
      <c r="N273" s="72"/>
      <c r="O273" s="72"/>
      <c r="P273" s="72"/>
      <c r="Q273" s="72"/>
      <c r="R273" s="72"/>
      <c r="S273" s="72"/>
      <c r="T273" s="72"/>
      <c r="U273" s="72"/>
      <c r="V273" s="72"/>
      <c r="W273" s="72"/>
      <c r="X273" s="72"/>
      <c r="Y273" s="72"/>
      <c r="AA273" s="91"/>
      <c r="AB273" s="91"/>
      <c r="AC273" s="72"/>
      <c r="AD273" s="72"/>
      <c r="AE273" s="72"/>
      <c r="AF273" s="72"/>
      <c r="AG273" s="72"/>
      <c r="AH273" s="72"/>
      <c r="AI273" s="72"/>
    </row>
    <row r="274" spans="1:83" ht="18.5" customHeight="1">
      <c r="A274" s="165"/>
      <c r="B274" s="72"/>
      <c r="C274" s="74" t="s">
        <v>139</v>
      </c>
      <c r="D274" s="72"/>
      <c r="E274" s="72"/>
      <c r="F274" s="72"/>
      <c r="G274" s="72"/>
      <c r="H274" s="99" t="s">
        <v>14</v>
      </c>
      <c r="I274" s="99" t="s">
        <v>86</v>
      </c>
      <c r="J274" s="72"/>
      <c r="K274" s="72"/>
      <c r="L274" s="72"/>
      <c r="M274" s="143" t="s">
        <v>178</v>
      </c>
      <c r="N274" s="72"/>
      <c r="O274" s="72"/>
      <c r="P274" s="72"/>
      <c r="Q274" s="72"/>
      <c r="R274" s="72"/>
      <c r="S274" s="72"/>
      <c r="T274" s="72"/>
      <c r="U274" s="72"/>
      <c r="V274" s="72"/>
      <c r="W274" s="72"/>
      <c r="X274" s="72"/>
      <c r="Y274" s="72"/>
      <c r="AA274" s="91"/>
      <c r="AB274" s="91"/>
      <c r="AC274" s="72"/>
      <c r="AD274" s="72"/>
      <c r="AE274" s="72"/>
      <c r="AF274" s="72"/>
      <c r="AG274" s="72"/>
      <c r="AH274" s="72"/>
      <c r="AI274" s="72"/>
    </row>
    <row r="275" spans="1:83" ht="13">
      <c r="A275" s="165"/>
      <c r="B275" s="72"/>
      <c r="C275" s="75" t="s">
        <v>183</v>
      </c>
      <c r="D275" s="72"/>
      <c r="E275" s="105" t="s">
        <v>141</v>
      </c>
      <c r="F275" s="72"/>
      <c r="G275" s="72"/>
      <c r="H275" s="7">
        <f>+N53</f>
        <v>0</v>
      </c>
      <c r="I275" s="7">
        <f>+K159</f>
        <v>10</v>
      </c>
      <c r="J275" s="101" t="str">
        <f t="shared" ref="J275:J277" si="37">+$H$18</f>
        <v>EUR</v>
      </c>
      <c r="K275" s="102">
        <f>SUM(I275*H275)</f>
        <v>0</v>
      </c>
      <c r="L275" s="72"/>
      <c r="M275" s="44">
        <f>+K275*-1</f>
        <v>0</v>
      </c>
      <c r="N275" s="101" t="str">
        <f>+$H$18</f>
        <v>EUR</v>
      </c>
      <c r="O275" s="72"/>
      <c r="P275" s="72"/>
      <c r="Q275" s="72"/>
      <c r="R275" s="72"/>
      <c r="S275" s="72"/>
      <c r="T275" s="72"/>
      <c r="U275" s="72"/>
      <c r="V275" s="72"/>
      <c r="W275" s="72"/>
      <c r="X275" s="72"/>
      <c r="Y275" s="72"/>
      <c r="AA275" s="91"/>
      <c r="AB275" s="91"/>
      <c r="AC275" s="72"/>
      <c r="AD275" s="72"/>
      <c r="AE275" s="72"/>
      <c r="AF275" s="72"/>
      <c r="AG275" s="72"/>
      <c r="AH275" s="72"/>
      <c r="AI275" s="72"/>
    </row>
    <row r="276" spans="1:83" ht="13">
      <c r="A276" s="165"/>
      <c r="B276" s="72"/>
      <c r="C276" s="75" t="s">
        <v>229</v>
      </c>
      <c r="D276" s="72"/>
      <c r="E276" s="105" t="s">
        <v>141</v>
      </c>
      <c r="F276" s="72"/>
      <c r="G276" s="72"/>
      <c r="H276" s="7">
        <f>+H190</f>
        <v>0</v>
      </c>
      <c r="I276" s="7">
        <f>+K198</f>
        <v>7</v>
      </c>
      <c r="J276" s="101" t="str">
        <f t="shared" si="37"/>
        <v>EUR</v>
      </c>
      <c r="K276" s="102">
        <f>SUM(I276*H276)</f>
        <v>0</v>
      </c>
      <c r="L276" s="72"/>
      <c r="M276" s="44">
        <f>+K276*-1</f>
        <v>0</v>
      </c>
      <c r="N276" s="101" t="str">
        <f>+$H$18</f>
        <v>EUR</v>
      </c>
      <c r="O276" s="72"/>
      <c r="P276" s="72"/>
      <c r="Q276" s="72"/>
      <c r="R276" s="72"/>
      <c r="S276" s="72"/>
      <c r="T276" s="72"/>
      <c r="U276" s="72"/>
      <c r="V276" s="72"/>
      <c r="W276" s="72"/>
      <c r="X276" s="72"/>
      <c r="Y276" s="72"/>
      <c r="AA276" s="91"/>
      <c r="AB276" s="91"/>
      <c r="AC276" s="72"/>
      <c r="AD276" s="72"/>
      <c r="AE276" s="72"/>
      <c r="AF276" s="72"/>
      <c r="AG276" s="72"/>
      <c r="AH276" s="72"/>
      <c r="AI276" s="72"/>
    </row>
    <row r="277" spans="1:83" ht="13">
      <c r="A277" s="165"/>
      <c r="B277" s="72"/>
      <c r="C277" s="75" t="s">
        <v>230</v>
      </c>
      <c r="D277" s="105"/>
      <c r="E277" s="105" t="s">
        <v>141</v>
      </c>
      <c r="F277" s="72"/>
      <c r="G277" s="72"/>
      <c r="H277" s="7">
        <f>+H214</f>
        <v>0</v>
      </c>
      <c r="I277" s="7">
        <v>0</v>
      </c>
      <c r="J277" s="101" t="str">
        <f t="shared" si="37"/>
        <v>EUR</v>
      </c>
      <c r="K277" s="102">
        <f>SUM(I277*H277)</f>
        <v>0</v>
      </c>
      <c r="L277" s="72"/>
      <c r="M277" s="44">
        <f>+K277*-1</f>
        <v>0</v>
      </c>
      <c r="N277" s="101" t="str">
        <f>+$H$18</f>
        <v>EUR</v>
      </c>
      <c r="O277" s="72"/>
      <c r="P277" s="72"/>
      <c r="Q277" s="72"/>
      <c r="R277" s="72"/>
      <c r="S277" s="72"/>
      <c r="T277" s="72"/>
      <c r="U277" s="72"/>
      <c r="V277" s="72"/>
      <c r="W277" s="72"/>
      <c r="X277" s="72"/>
      <c r="Y277" s="72"/>
      <c r="AA277" s="91"/>
      <c r="AB277" s="91"/>
      <c r="AC277" s="72"/>
      <c r="AD277" s="72"/>
      <c r="AE277" s="72"/>
      <c r="AF277" s="72"/>
      <c r="AG277" s="72"/>
      <c r="AH277" s="72"/>
      <c r="AI277" s="72"/>
    </row>
    <row r="278" spans="1:83" ht="13">
      <c r="A278" s="165"/>
      <c r="B278" s="72"/>
      <c r="C278" s="72"/>
      <c r="D278" s="105"/>
      <c r="E278" s="72"/>
      <c r="F278" s="72"/>
      <c r="G278" s="72"/>
      <c r="H278" s="72"/>
      <c r="I278" s="72"/>
      <c r="J278" s="72"/>
      <c r="K278" s="102"/>
      <c r="L278" s="72"/>
      <c r="M278" s="72"/>
      <c r="N278" s="72"/>
      <c r="O278" s="72"/>
      <c r="P278" s="72"/>
      <c r="Q278" s="72"/>
      <c r="R278" s="72"/>
      <c r="S278" s="72"/>
      <c r="T278" s="72"/>
      <c r="U278" s="72"/>
      <c r="V278" s="72"/>
      <c r="W278" s="72"/>
      <c r="X278" s="72"/>
      <c r="Y278" s="72"/>
      <c r="AA278" s="91"/>
      <c r="AB278" s="91"/>
      <c r="AC278" s="72"/>
      <c r="AD278" s="72"/>
      <c r="AE278" s="72"/>
      <c r="AF278" s="72"/>
      <c r="AG278" s="72"/>
      <c r="AH278" s="72"/>
      <c r="AI278" s="72"/>
    </row>
    <row r="279" spans="1:83" ht="13">
      <c r="A279" s="72"/>
      <c r="B279" s="72"/>
      <c r="C279" s="72"/>
      <c r="D279" s="105"/>
      <c r="E279" s="72"/>
      <c r="F279" s="72"/>
      <c r="G279" s="72"/>
      <c r="H279" s="225"/>
      <c r="I279" s="226"/>
      <c r="J279" s="226"/>
      <c r="K279" s="227"/>
      <c r="L279" s="228" t="s">
        <v>205</v>
      </c>
      <c r="M279" s="6">
        <f>SUM(M271:M277)</f>
        <v>0</v>
      </c>
      <c r="N279" s="231" t="str">
        <f>+$H$18</f>
        <v>EUR</v>
      </c>
      <c r="O279" s="165"/>
      <c r="P279" s="72"/>
      <c r="Q279" s="72"/>
      <c r="R279" s="72"/>
      <c r="S279" s="72"/>
      <c r="T279" s="72"/>
      <c r="U279" s="72"/>
      <c r="V279" s="72"/>
      <c r="W279" s="72"/>
      <c r="X279" s="72"/>
      <c r="Y279" s="72"/>
      <c r="AA279" s="91"/>
      <c r="AB279" s="91"/>
      <c r="AC279" s="72"/>
      <c r="AD279" s="72"/>
      <c r="AE279" s="72"/>
      <c r="AF279" s="72"/>
      <c r="AG279" s="72"/>
      <c r="AH279" s="72"/>
      <c r="AI279" s="72"/>
    </row>
    <row r="280" spans="1:83" ht="13">
      <c r="A280" s="72"/>
      <c r="B280" s="72"/>
      <c r="C280" s="72"/>
      <c r="D280" s="105"/>
      <c r="E280" s="72"/>
      <c r="F280" s="72"/>
      <c r="G280" s="72"/>
      <c r="H280" s="72"/>
      <c r="I280" s="72"/>
      <c r="J280" s="72"/>
      <c r="K280" s="102"/>
      <c r="L280" s="74"/>
      <c r="M280" s="72"/>
      <c r="N280" s="72"/>
      <c r="O280" s="72"/>
      <c r="P280" s="72"/>
      <c r="Q280" s="72"/>
      <c r="R280" s="72"/>
      <c r="S280" s="72"/>
      <c r="T280" s="72"/>
      <c r="U280" s="72"/>
      <c r="V280" s="72"/>
      <c r="W280" s="72"/>
      <c r="X280" s="72"/>
      <c r="Y280" s="72"/>
      <c r="AA280" s="91"/>
      <c r="AB280" s="91"/>
      <c r="AC280" s="72"/>
      <c r="AD280" s="72"/>
      <c r="AE280" s="72"/>
      <c r="AF280" s="72"/>
      <c r="AG280" s="72"/>
      <c r="AH280" s="72"/>
      <c r="AI280" s="72"/>
    </row>
    <row r="281" spans="1:83" ht="13" hidden="1">
      <c r="A281" s="72"/>
      <c r="B281" s="72"/>
      <c r="C281" s="72"/>
      <c r="D281" s="105"/>
      <c r="E281" s="72"/>
      <c r="F281" s="72"/>
      <c r="G281" s="72"/>
      <c r="H281" s="72"/>
      <c r="I281" s="72"/>
      <c r="J281" s="72"/>
      <c r="K281" s="102"/>
      <c r="L281" s="74"/>
      <c r="M281" s="72"/>
      <c r="N281" s="72"/>
      <c r="O281" s="72"/>
      <c r="P281" s="72"/>
      <c r="Q281" s="72"/>
      <c r="R281" s="72"/>
      <c r="S281" s="72"/>
      <c r="T281" s="72"/>
      <c r="U281" s="72"/>
      <c r="V281" s="72"/>
      <c r="W281" s="72"/>
      <c r="X281" s="72"/>
      <c r="Y281" s="72"/>
      <c r="AA281" s="91"/>
      <c r="AB281" s="91"/>
      <c r="AC281" s="72"/>
      <c r="AD281" s="72"/>
      <c r="AE281" s="72"/>
      <c r="AF281" s="72"/>
      <c r="AG281" s="72"/>
      <c r="AH281" s="72"/>
      <c r="AI281" s="72"/>
    </row>
    <row r="282" spans="1:83" ht="13">
      <c r="A282" s="72"/>
      <c r="B282" s="72"/>
      <c r="C282" s="72"/>
      <c r="D282" s="72"/>
      <c r="F282" s="72"/>
      <c r="G282" s="72"/>
      <c r="H282" s="229"/>
      <c r="I282" s="226"/>
      <c r="J282" s="226"/>
      <c r="K282" s="226"/>
      <c r="L282" s="230" t="s">
        <v>337</v>
      </c>
      <c r="M282" s="238">
        <v>0</v>
      </c>
      <c r="N282" s="231" t="str">
        <f>+$H$18</f>
        <v>EUR</v>
      </c>
      <c r="O282" s="165"/>
      <c r="P282" s="72"/>
      <c r="Q282" s="72"/>
      <c r="R282" s="72"/>
      <c r="S282" s="72"/>
      <c r="T282" s="72"/>
      <c r="U282" s="72"/>
      <c r="V282" s="72"/>
      <c r="W282" s="72"/>
      <c r="X282" s="72"/>
      <c r="Y282" s="72"/>
      <c r="AA282" s="91"/>
      <c r="AB282" s="91"/>
      <c r="AC282" s="72"/>
      <c r="AD282" s="72"/>
      <c r="AE282" s="72"/>
      <c r="AF282" s="72"/>
      <c r="AG282" s="72"/>
      <c r="AH282" s="72"/>
      <c r="AI282" s="72"/>
    </row>
    <row r="283" spans="1:83" ht="13">
      <c r="A283" s="72"/>
      <c r="B283" s="72"/>
      <c r="C283" s="72"/>
      <c r="D283" s="72"/>
      <c r="E283" s="72"/>
      <c r="F283" s="72"/>
      <c r="G283" s="72"/>
      <c r="H283" s="72"/>
      <c r="I283" s="72"/>
      <c r="J283" s="72"/>
      <c r="K283" s="72"/>
      <c r="L283" s="72"/>
      <c r="M283" s="72"/>
      <c r="N283" s="72"/>
      <c r="O283" s="72"/>
      <c r="P283" s="72"/>
      <c r="Q283" s="72"/>
      <c r="R283" s="72"/>
      <c r="S283" s="72"/>
      <c r="T283" s="72"/>
      <c r="U283" s="72"/>
      <c r="V283" s="72"/>
      <c r="W283" s="72"/>
      <c r="X283" s="72"/>
      <c r="Y283" s="72"/>
      <c r="AA283" s="91"/>
      <c r="AB283" s="91"/>
      <c r="AC283" s="72"/>
      <c r="AD283" s="72"/>
      <c r="AE283" s="72"/>
      <c r="AF283" s="72"/>
      <c r="AG283" s="72"/>
      <c r="AH283" s="72"/>
      <c r="AI283" s="72"/>
    </row>
    <row r="284" spans="1:83" ht="13.5" thickBot="1">
      <c r="A284" s="72"/>
      <c r="B284" s="72"/>
      <c r="C284" s="72"/>
      <c r="D284" s="72"/>
      <c r="E284" s="72"/>
      <c r="F284" s="72"/>
      <c r="G284" s="72"/>
      <c r="H284" s="105"/>
      <c r="I284" s="105"/>
      <c r="J284" s="72"/>
      <c r="K284" s="72"/>
      <c r="L284" s="72"/>
      <c r="M284" s="243" t="s">
        <v>355</v>
      </c>
      <c r="N284" s="145">
        <f>+M279+M282</f>
        <v>0</v>
      </c>
      <c r="O284" s="88" t="str">
        <f>$H$18&amp;" added to Total Savings"</f>
        <v>EUR added to Total Savings</v>
      </c>
      <c r="P284" s="70"/>
      <c r="Q284" s="70"/>
      <c r="R284" s="89"/>
      <c r="S284" s="89"/>
      <c r="T284" s="89"/>
      <c r="U284" s="89"/>
      <c r="V284" s="89"/>
      <c r="W284" s="89"/>
      <c r="X284" s="89"/>
      <c r="Y284" s="89"/>
      <c r="Z284" s="157"/>
      <c r="AA284" s="132"/>
      <c r="AB284" s="132"/>
      <c r="AC284" s="89"/>
      <c r="AD284" s="72"/>
      <c r="AE284" s="72"/>
      <c r="AF284" s="72"/>
      <c r="AG284" s="72"/>
      <c r="AH284" s="72"/>
      <c r="AI284" s="72"/>
    </row>
    <row r="285" spans="1:83" ht="13.5" thickTop="1">
      <c r="A285" s="72"/>
      <c r="B285" s="72"/>
      <c r="C285" s="72"/>
      <c r="D285" s="72"/>
      <c r="E285" s="72"/>
      <c r="F285" s="72"/>
      <c r="G285" s="72"/>
      <c r="H285" s="72"/>
      <c r="I285" s="72"/>
      <c r="J285" s="72"/>
      <c r="K285" s="72"/>
      <c r="L285" s="72"/>
      <c r="M285" s="72"/>
      <c r="N285" s="72"/>
      <c r="O285" s="72"/>
      <c r="P285" s="72"/>
      <c r="Q285" s="72"/>
      <c r="R285" s="72"/>
      <c r="S285" s="72"/>
      <c r="T285" s="72"/>
      <c r="U285" s="72"/>
      <c r="V285" s="72"/>
      <c r="W285" s="72"/>
      <c r="X285" s="72"/>
      <c r="Y285" s="72"/>
      <c r="AA285" s="91"/>
      <c r="AB285" s="91"/>
      <c r="AC285" s="72"/>
      <c r="AD285" s="72"/>
      <c r="AE285" s="72"/>
      <c r="AF285" s="72"/>
      <c r="AG285" s="72"/>
      <c r="AH285" s="72"/>
      <c r="AI285" s="72"/>
    </row>
    <row r="286" spans="1:83" ht="13">
      <c r="A286" s="72"/>
      <c r="B286" s="72"/>
      <c r="C286" s="72"/>
      <c r="D286" s="72"/>
      <c r="E286" s="72"/>
      <c r="F286" s="72"/>
      <c r="G286" s="72"/>
      <c r="H286" s="72"/>
      <c r="I286" s="72"/>
      <c r="J286" s="72"/>
      <c r="K286" s="72"/>
      <c r="L286" s="72"/>
      <c r="M286" s="72"/>
      <c r="N286" s="72"/>
      <c r="O286" s="72"/>
      <c r="P286" s="72"/>
      <c r="Q286" s="72"/>
      <c r="R286" s="72"/>
      <c r="S286" s="72"/>
      <c r="T286" s="72"/>
      <c r="U286" s="72"/>
      <c r="V286" s="72"/>
      <c r="W286" s="72"/>
      <c r="X286" s="72"/>
      <c r="Y286" s="72"/>
      <c r="AA286" s="91"/>
      <c r="AB286" s="91"/>
      <c r="AC286" s="72"/>
      <c r="AD286" s="72"/>
      <c r="AE286" s="72"/>
      <c r="AF286" s="72"/>
      <c r="AG286" s="72"/>
      <c r="AH286" s="72"/>
      <c r="AI286" s="72"/>
    </row>
    <row r="287" spans="1:83" s="52" customFormat="1" ht="7" customHeight="1">
      <c r="M287" s="53"/>
      <c r="N287" s="54"/>
      <c r="Z287" s="153"/>
      <c r="AJ287" s="72"/>
      <c r="AK287" s="72"/>
      <c r="AL287" s="72"/>
      <c r="AM287" s="72"/>
      <c r="AN287" s="72"/>
      <c r="AO287" s="72"/>
      <c r="AP287" s="72"/>
      <c r="AQ287" s="72"/>
      <c r="AR287" s="72"/>
      <c r="AS287" s="72"/>
      <c r="AT287" s="72"/>
      <c r="AU287" s="72"/>
      <c r="AV287" s="72"/>
      <c r="AW287" s="72"/>
      <c r="AX287" s="72"/>
      <c r="AY287" s="72"/>
      <c r="AZ287" s="72"/>
      <c r="BA287" s="72"/>
      <c r="BB287" s="72"/>
      <c r="BC287" s="72"/>
      <c r="BD287" s="72"/>
      <c r="BE287" s="72"/>
      <c r="BF287" s="72"/>
      <c r="BG287" s="72"/>
      <c r="BH287" s="72"/>
      <c r="BI287" s="72"/>
      <c r="BJ287" s="72"/>
      <c r="BK287" s="72"/>
      <c r="BL287" s="72"/>
      <c r="BM287" s="72"/>
      <c r="BN287" s="72"/>
      <c r="BO287" s="72"/>
      <c r="BP287" s="72"/>
      <c r="BQ287" s="72"/>
      <c r="BR287" s="72"/>
      <c r="BS287" s="72"/>
      <c r="BT287" s="72"/>
      <c r="BU287" s="72"/>
      <c r="BV287" s="72"/>
      <c r="BW287" s="72"/>
      <c r="BX287" s="72"/>
      <c r="BY287" s="72"/>
      <c r="BZ287" s="72"/>
      <c r="CA287" s="72"/>
      <c r="CB287" s="72"/>
      <c r="CC287" s="72"/>
      <c r="CD287" s="72"/>
      <c r="CE287" s="72"/>
    </row>
    <row r="288" spans="1:83" s="110" customFormat="1" ht="20" customHeight="1">
      <c r="A288" s="110" t="s">
        <v>204</v>
      </c>
      <c r="B288" s="110" t="s">
        <v>235</v>
      </c>
      <c r="M288" s="111"/>
      <c r="N288" s="112"/>
      <c r="Z288" s="156"/>
      <c r="AJ288" s="150"/>
      <c r="AK288" s="150"/>
      <c r="AL288" s="150"/>
      <c r="AM288" s="150"/>
      <c r="AN288" s="150"/>
      <c r="AO288" s="150"/>
      <c r="AP288" s="150"/>
      <c r="AQ288" s="150"/>
      <c r="AR288" s="150"/>
      <c r="AS288" s="150"/>
      <c r="AT288" s="150"/>
      <c r="AU288" s="150"/>
      <c r="AV288" s="150"/>
      <c r="AW288" s="150"/>
      <c r="AX288" s="150"/>
      <c r="AY288" s="150"/>
      <c r="AZ288" s="150"/>
      <c r="BA288" s="150"/>
      <c r="BB288" s="150"/>
      <c r="BC288" s="150"/>
      <c r="BD288" s="150"/>
      <c r="BE288" s="150"/>
      <c r="BF288" s="150"/>
      <c r="BG288" s="150"/>
      <c r="BH288" s="150"/>
      <c r="BI288" s="150"/>
      <c r="BJ288" s="150"/>
      <c r="BK288" s="150"/>
      <c r="BL288" s="150"/>
      <c r="BM288" s="150"/>
      <c r="BN288" s="150"/>
      <c r="BO288" s="150"/>
      <c r="BP288" s="150"/>
      <c r="BQ288" s="150"/>
      <c r="BR288" s="150"/>
      <c r="BS288" s="150"/>
      <c r="BT288" s="150"/>
      <c r="BU288" s="150"/>
      <c r="BV288" s="150"/>
      <c r="BW288" s="150"/>
      <c r="BX288" s="150"/>
      <c r="BY288" s="150"/>
      <c r="BZ288" s="150"/>
      <c r="CA288" s="150"/>
      <c r="CB288" s="150"/>
      <c r="CC288" s="150"/>
      <c r="CD288" s="150"/>
      <c r="CE288" s="150"/>
    </row>
    <row r="289" spans="1:35" ht="22" customHeight="1">
      <c r="A289" s="72"/>
      <c r="B289" s="72"/>
      <c r="C289" s="72"/>
      <c r="D289" s="72"/>
      <c r="E289" s="72"/>
      <c r="F289" s="72"/>
      <c r="G289" s="72"/>
      <c r="H289" s="72"/>
      <c r="I289" s="236" t="s">
        <v>342</v>
      </c>
      <c r="J289" s="72"/>
      <c r="K289" s="72"/>
      <c r="L289" s="72"/>
      <c r="N289" s="72"/>
      <c r="O289" s="72"/>
      <c r="P289" s="72"/>
      <c r="Q289" s="72"/>
      <c r="R289" s="72"/>
      <c r="S289" s="72"/>
      <c r="T289" s="72"/>
      <c r="U289" s="72"/>
      <c r="V289" s="72"/>
      <c r="W289" s="72"/>
      <c r="X289" s="72"/>
      <c r="Y289" s="72"/>
      <c r="Z289" s="177" t="s">
        <v>340</v>
      </c>
      <c r="AA289" s="91"/>
      <c r="AB289" s="91"/>
      <c r="AC289" s="72"/>
      <c r="AD289" s="72"/>
      <c r="AE289" s="72"/>
      <c r="AF289" s="72"/>
      <c r="AG289" s="72"/>
      <c r="AH289" s="72"/>
      <c r="AI289" s="72"/>
    </row>
    <row r="290" spans="1:35" ht="13">
      <c r="A290" s="165"/>
      <c r="B290" s="72"/>
      <c r="C290" s="72"/>
      <c r="D290" s="72"/>
      <c r="E290" s="72"/>
      <c r="F290" s="72"/>
      <c r="G290" s="72"/>
      <c r="H290" s="72"/>
      <c r="I290" s="235" t="s">
        <v>340</v>
      </c>
      <c r="J290" s="161" t="s">
        <v>252</v>
      </c>
      <c r="K290" s="72"/>
      <c r="L290" s="72"/>
      <c r="M290" s="72"/>
      <c r="N290" s="72"/>
      <c r="P290" s="72"/>
      <c r="Q290" s="72"/>
      <c r="R290" s="72"/>
      <c r="S290" s="72"/>
      <c r="T290" s="72"/>
      <c r="U290" s="72"/>
      <c r="V290" s="72"/>
      <c r="W290" s="72"/>
      <c r="X290" s="72"/>
      <c r="Y290" s="72"/>
      <c r="Z290" s="177" t="s">
        <v>341</v>
      </c>
      <c r="AA290" s="91"/>
      <c r="AB290" s="91"/>
      <c r="AC290" s="72"/>
      <c r="AD290" s="72"/>
      <c r="AE290" s="72"/>
      <c r="AF290" s="72"/>
      <c r="AG290" s="72"/>
      <c r="AH290" s="72"/>
      <c r="AI290" s="72"/>
    </row>
    <row r="291" spans="1:35" ht="13">
      <c r="A291" s="165"/>
      <c r="B291" s="72"/>
      <c r="C291" s="72"/>
      <c r="D291" s="72"/>
      <c r="E291" s="72"/>
      <c r="F291" s="72"/>
      <c r="G291" s="72"/>
      <c r="H291" s="72"/>
      <c r="I291" s="72"/>
      <c r="J291" s="161"/>
      <c r="K291" s="72"/>
      <c r="L291" s="72"/>
      <c r="M291" s="72"/>
      <c r="N291" s="72"/>
      <c r="O291" s="72"/>
      <c r="P291" s="72"/>
      <c r="Q291" s="72"/>
      <c r="R291" s="72"/>
      <c r="S291" s="72"/>
      <c r="T291" s="72"/>
      <c r="U291" s="72"/>
      <c r="V291" s="72"/>
      <c r="W291" s="72"/>
      <c r="X291" s="72"/>
      <c r="Y291" s="72"/>
      <c r="Z291" s="177"/>
      <c r="AA291" s="91"/>
      <c r="AB291" s="91"/>
      <c r="AC291" s="72"/>
      <c r="AD291" s="72"/>
      <c r="AE291" s="72"/>
      <c r="AF291" s="72"/>
      <c r="AG291" s="72"/>
      <c r="AH291" s="72"/>
      <c r="AI291" s="72"/>
    </row>
    <row r="292" spans="1:35" ht="13">
      <c r="A292" s="165"/>
      <c r="B292" s="72"/>
      <c r="C292" s="74" t="s">
        <v>206</v>
      </c>
      <c r="D292" s="72"/>
      <c r="E292" s="72"/>
      <c r="F292" s="72"/>
      <c r="G292" s="72"/>
      <c r="H292" s="72"/>
      <c r="I292" s="72"/>
      <c r="J292" s="72"/>
      <c r="K292" s="72"/>
      <c r="L292" s="72"/>
      <c r="M292" s="72"/>
      <c r="N292" s="72"/>
      <c r="O292" s="72"/>
      <c r="P292" s="72"/>
      <c r="Q292" s="72"/>
      <c r="R292" s="72"/>
      <c r="S292" s="72"/>
      <c r="T292" s="72"/>
      <c r="U292" s="72"/>
      <c r="V292" s="72"/>
      <c r="W292" s="72"/>
      <c r="X292" s="72"/>
      <c r="Y292" s="72"/>
      <c r="AA292" s="91"/>
      <c r="AB292" s="91"/>
      <c r="AC292" s="72"/>
      <c r="AD292" s="72"/>
      <c r="AE292" s="72"/>
      <c r="AF292" s="168">
        <f>SUM(I296*M312)</f>
        <v>801.6</v>
      </c>
      <c r="AG292" s="75" t="s">
        <v>240</v>
      </c>
      <c r="AH292" s="72"/>
      <c r="AI292" s="72"/>
    </row>
    <row r="293" spans="1:35" ht="13">
      <c r="A293" s="72"/>
      <c r="B293" s="72"/>
      <c r="C293" s="72"/>
      <c r="D293" s="72"/>
      <c r="E293" s="72"/>
      <c r="F293" s="72"/>
      <c r="G293" s="72"/>
      <c r="H293" s="72"/>
      <c r="I293" s="105" t="s">
        <v>102</v>
      </c>
      <c r="J293" s="72"/>
      <c r="K293" s="72"/>
      <c r="L293" s="72"/>
      <c r="M293" s="99" t="s">
        <v>160</v>
      </c>
      <c r="N293" s="72"/>
      <c r="O293" s="72"/>
      <c r="P293" s="72"/>
      <c r="Q293" s="72"/>
      <c r="R293" s="72"/>
      <c r="S293" s="72"/>
      <c r="T293" s="72"/>
      <c r="U293" s="72"/>
      <c r="V293" s="72"/>
      <c r="W293" s="72"/>
      <c r="X293" s="72"/>
      <c r="Y293" s="72"/>
      <c r="Z293" s="155" t="s">
        <v>160</v>
      </c>
      <c r="AA293" s="91"/>
      <c r="AB293" s="91"/>
      <c r="AC293" s="72"/>
      <c r="AD293" s="72"/>
      <c r="AE293" s="72"/>
      <c r="AF293" s="246">
        <v>730</v>
      </c>
      <c r="AG293" s="75" t="s">
        <v>38</v>
      </c>
      <c r="AH293" s="72"/>
      <c r="AI293" s="72"/>
    </row>
    <row r="294" spans="1:35" ht="13">
      <c r="A294" s="72"/>
      <c r="B294" s="72"/>
      <c r="C294" s="72"/>
      <c r="D294" s="72"/>
      <c r="E294" s="72"/>
      <c r="F294" s="75" t="s">
        <v>231</v>
      </c>
      <c r="G294" s="72"/>
      <c r="H294" s="72"/>
      <c r="I294" s="6">
        <f>+H70</f>
        <v>0</v>
      </c>
      <c r="J294" s="101" t="str">
        <f>+$H$18</f>
        <v>EUR</v>
      </c>
      <c r="K294" s="72"/>
      <c r="L294" s="72"/>
      <c r="M294" s="6">
        <f>SUM(I294*Z294)</f>
        <v>0</v>
      </c>
      <c r="N294" s="101" t="str">
        <f>+$H$18</f>
        <v>EUR</v>
      </c>
      <c r="O294" s="72"/>
      <c r="Q294" s="72"/>
      <c r="R294" s="72"/>
      <c r="S294" s="72"/>
      <c r="T294" s="72"/>
      <c r="U294" s="72"/>
      <c r="V294" s="72"/>
      <c r="W294" s="72"/>
      <c r="X294" s="72"/>
      <c r="Y294" s="72"/>
      <c r="Z294" s="153">
        <v>0.04</v>
      </c>
      <c r="AA294" s="91"/>
      <c r="AB294" s="91"/>
      <c r="AC294" s="75" t="s">
        <v>363</v>
      </c>
      <c r="AD294" s="72"/>
      <c r="AE294" s="19" t="str">
        <f>+$H$18</f>
        <v>EUR</v>
      </c>
      <c r="AF294" s="72"/>
      <c r="AG294" s="72"/>
      <c r="AH294" s="72"/>
      <c r="AI294" s="72"/>
    </row>
    <row r="295" spans="1:35" ht="13">
      <c r="A295" s="72"/>
      <c r="B295" s="72"/>
      <c r="C295" s="72"/>
      <c r="D295" s="72"/>
      <c r="E295" s="72"/>
      <c r="F295" s="72"/>
      <c r="G295" s="72"/>
      <c r="H295" s="72"/>
      <c r="I295" s="72"/>
      <c r="J295" s="72"/>
      <c r="K295" s="72"/>
      <c r="L295" s="72"/>
      <c r="M295" s="72"/>
      <c r="N295" s="72"/>
      <c r="O295" s="72"/>
      <c r="P295" s="72"/>
      <c r="Q295" s="72"/>
      <c r="R295" s="72"/>
      <c r="S295" s="72"/>
      <c r="T295" s="72"/>
      <c r="U295" s="72"/>
      <c r="V295" s="72"/>
      <c r="W295" s="72"/>
      <c r="X295" s="72"/>
      <c r="Y295" s="72"/>
      <c r="AA295" s="91"/>
      <c r="AC295" s="75" t="s">
        <v>371</v>
      </c>
      <c r="AE295" s="18">
        <f>HLOOKUP(N296,AC297:AH301,AB299,FALSE)</f>
        <v>730</v>
      </c>
      <c r="AF295" s="72"/>
      <c r="AG295" s="72"/>
      <c r="AH295" s="72"/>
      <c r="AI295" s="72"/>
    </row>
    <row r="296" spans="1:35" ht="13">
      <c r="A296" s="72"/>
      <c r="B296" s="72"/>
      <c r="C296" s="72"/>
      <c r="D296" s="72"/>
      <c r="E296" s="72"/>
      <c r="F296" s="75" t="s">
        <v>372</v>
      </c>
      <c r="G296" s="72"/>
      <c r="H296" s="72"/>
      <c r="I296" s="246">
        <v>2400</v>
      </c>
      <c r="J296" s="75" t="s">
        <v>240</v>
      </c>
      <c r="K296" s="72"/>
      <c r="L296" s="72"/>
      <c r="M296" s="8">
        <f>+AE295</f>
        <v>730</v>
      </c>
      <c r="N296" s="101" t="str">
        <f>+$H$18</f>
        <v>EUR</v>
      </c>
      <c r="O296" s="75" t="s">
        <v>373</v>
      </c>
      <c r="Q296" s="72"/>
      <c r="R296" s="72"/>
      <c r="S296" s="72"/>
      <c r="T296" s="72"/>
      <c r="U296" s="72"/>
      <c r="V296" s="72"/>
      <c r="W296" s="72"/>
      <c r="X296" s="72"/>
      <c r="Y296" s="72"/>
      <c r="AA296" s="91"/>
      <c r="AB296" s="72"/>
      <c r="AC296" s="98">
        <v>7.5</v>
      </c>
      <c r="AD296" s="98">
        <v>10</v>
      </c>
      <c r="AE296" s="98">
        <v>10</v>
      </c>
      <c r="AF296" s="98">
        <v>1</v>
      </c>
      <c r="AG296" s="98">
        <v>1.1000000000000001</v>
      </c>
      <c r="AH296" s="98">
        <v>0.9</v>
      </c>
      <c r="AI296" s="72"/>
    </row>
    <row r="297" spans="1:35" ht="13">
      <c r="A297" s="72"/>
      <c r="B297" s="75" t="s">
        <v>171</v>
      </c>
      <c r="C297" s="72"/>
      <c r="D297" s="72"/>
      <c r="E297" s="72"/>
      <c r="F297" s="72"/>
      <c r="G297" s="72"/>
      <c r="H297" s="72"/>
      <c r="I297" s="72"/>
      <c r="J297" s="72"/>
      <c r="K297" s="72"/>
      <c r="L297" s="72"/>
      <c r="M297" s="72"/>
      <c r="N297" s="72"/>
      <c r="O297" s="72"/>
      <c r="P297" s="72"/>
      <c r="Q297" s="72"/>
      <c r="R297" s="72"/>
      <c r="S297" s="72"/>
      <c r="T297" s="72"/>
      <c r="U297" s="72"/>
      <c r="V297" s="72"/>
      <c r="W297" s="72"/>
      <c r="X297" s="72"/>
      <c r="Y297" s="72"/>
      <c r="AA297" s="91"/>
      <c r="AB297" s="72"/>
      <c r="AC297" s="115" t="s">
        <v>237</v>
      </c>
      <c r="AD297" s="115" t="s">
        <v>238</v>
      </c>
      <c r="AE297" s="115" t="s">
        <v>239</v>
      </c>
      <c r="AF297" s="115" t="s">
        <v>38</v>
      </c>
      <c r="AG297" s="115" t="s">
        <v>240</v>
      </c>
      <c r="AH297" s="115" t="s">
        <v>241</v>
      </c>
      <c r="AI297" s="72"/>
    </row>
    <row r="298" spans="1:35" ht="13.5" thickBot="1">
      <c r="A298" s="72"/>
      <c r="B298" s="72"/>
      <c r="C298" s="72"/>
      <c r="D298" s="72"/>
      <c r="E298" s="72"/>
      <c r="F298" s="72"/>
      <c r="G298" s="75"/>
      <c r="H298" s="72"/>
      <c r="I298" s="72"/>
      <c r="J298" s="72"/>
      <c r="K298" s="72"/>
      <c r="L298" s="72"/>
      <c r="M298" s="243" t="s">
        <v>233</v>
      </c>
      <c r="N298" s="247">
        <f>SUM(M294/M296)</f>
        <v>0</v>
      </c>
      <c r="O298" s="88" t="s">
        <v>220</v>
      </c>
      <c r="P298" s="70"/>
      <c r="Q298" s="70"/>
      <c r="R298" s="89"/>
      <c r="S298" s="89"/>
      <c r="T298" s="89"/>
      <c r="U298" s="89"/>
      <c r="V298" s="89"/>
      <c r="W298" s="89"/>
      <c r="X298" s="89"/>
      <c r="Y298" s="89"/>
      <c r="Z298" s="157"/>
      <c r="AA298" s="132"/>
      <c r="AB298" s="72"/>
      <c r="AC298" s="98"/>
      <c r="AD298" s="98"/>
      <c r="AE298" s="98"/>
      <c r="AF298" s="98"/>
      <c r="AG298" s="98"/>
      <c r="AH298" s="98"/>
      <c r="AI298" s="72"/>
    </row>
    <row r="299" spans="1:35" ht="13.5" thickTop="1">
      <c r="A299" s="72"/>
      <c r="B299" s="72"/>
      <c r="C299" s="72"/>
      <c r="D299" s="72"/>
      <c r="E299" s="72"/>
      <c r="F299" s="72"/>
      <c r="G299" s="72"/>
      <c r="H299" s="72"/>
      <c r="I299" s="72"/>
      <c r="J299" s="72"/>
      <c r="K299" s="72"/>
      <c r="L299" s="72"/>
      <c r="M299" s="72"/>
      <c r="N299" s="72"/>
      <c r="O299" s="72"/>
      <c r="P299" s="75" t="s">
        <v>171</v>
      </c>
      <c r="Q299" s="75"/>
      <c r="R299" s="72"/>
      <c r="S299" s="72"/>
      <c r="T299" s="72"/>
      <c r="U299" s="72"/>
      <c r="V299" s="72"/>
      <c r="W299" s="72"/>
      <c r="X299" s="72"/>
      <c r="Y299" s="72"/>
      <c r="AA299" s="91"/>
      <c r="AB299">
        <v>3</v>
      </c>
      <c r="AC299" s="176">
        <f>SUM($AF299*AC$23)</f>
        <v>5475</v>
      </c>
      <c r="AD299" s="176">
        <f t="shared" ref="AD299:AE301" si="38">SUM($AF299*AD$23)</f>
        <v>7300</v>
      </c>
      <c r="AE299" s="176">
        <f t="shared" si="38"/>
        <v>7300</v>
      </c>
      <c r="AF299" s="170">
        <f>+AF293</f>
        <v>730</v>
      </c>
      <c r="AG299" s="176">
        <f t="shared" ref="AG299:AH301" si="39">SUM($AF299*AG$23)</f>
        <v>803.00000000000011</v>
      </c>
      <c r="AH299" s="176">
        <f t="shared" si="39"/>
        <v>657</v>
      </c>
      <c r="AI299" s="72"/>
    </row>
    <row r="300" spans="1:35" ht="13">
      <c r="A300" s="72"/>
      <c r="B300" s="72"/>
      <c r="C300" s="72"/>
      <c r="D300" s="72"/>
      <c r="E300" s="72"/>
      <c r="F300" s="245" t="s">
        <v>374</v>
      </c>
      <c r="G300" s="72"/>
      <c r="H300" s="72"/>
      <c r="I300" s="72"/>
      <c r="J300" s="72"/>
      <c r="K300" s="72"/>
      <c r="L300" s="72"/>
      <c r="M300" s="72"/>
      <c r="N300" s="72"/>
      <c r="O300" s="72"/>
      <c r="P300" s="72"/>
      <c r="Q300" s="72"/>
      <c r="R300" s="72"/>
      <c r="S300" s="72"/>
      <c r="T300" s="72"/>
      <c r="U300" s="72"/>
      <c r="V300" s="72"/>
      <c r="W300" s="72"/>
      <c r="X300" s="72"/>
      <c r="Y300" s="72"/>
      <c r="AA300" s="91"/>
      <c r="AB300">
        <v>4</v>
      </c>
      <c r="AC300" s="176">
        <f t="shared" ref="AC300:AC301" si="40">SUM($AF300*AC$23)</f>
        <v>0</v>
      </c>
      <c r="AD300" s="176">
        <f t="shared" si="38"/>
        <v>0</v>
      </c>
      <c r="AE300" s="176">
        <f t="shared" si="38"/>
        <v>0</v>
      </c>
      <c r="AF300" s="170">
        <v>0</v>
      </c>
      <c r="AG300" s="176">
        <f t="shared" si="39"/>
        <v>0</v>
      </c>
      <c r="AH300" s="176">
        <f t="shared" si="39"/>
        <v>0</v>
      </c>
      <c r="AI300" s="72"/>
    </row>
    <row r="301" spans="1:35" ht="13">
      <c r="A301" s="72"/>
      <c r="B301" s="72"/>
      <c r="C301" s="72"/>
      <c r="D301" s="72"/>
      <c r="E301" s="72"/>
      <c r="F301" s="75" t="s">
        <v>367</v>
      </c>
      <c r="G301" s="72"/>
      <c r="H301" s="72"/>
      <c r="I301" s="72"/>
      <c r="J301" s="72"/>
      <c r="K301" s="72"/>
      <c r="L301" s="72"/>
      <c r="M301" s="72"/>
      <c r="N301" s="72"/>
      <c r="O301" s="72"/>
      <c r="P301" s="72"/>
      <c r="Q301" s="72"/>
      <c r="R301" s="72"/>
      <c r="S301" s="72"/>
      <c r="T301" s="72"/>
      <c r="U301" s="72"/>
      <c r="V301" s="72"/>
      <c r="W301" s="72"/>
      <c r="X301" s="72"/>
      <c r="Y301" s="72"/>
      <c r="AA301" s="91"/>
      <c r="AB301">
        <v>5</v>
      </c>
      <c r="AC301" s="176">
        <f t="shared" si="40"/>
        <v>0</v>
      </c>
      <c r="AD301" s="176">
        <f t="shared" si="38"/>
        <v>0</v>
      </c>
      <c r="AE301" s="176">
        <f t="shared" si="38"/>
        <v>0</v>
      </c>
      <c r="AF301" s="170">
        <v>0</v>
      </c>
      <c r="AG301" s="176">
        <f t="shared" si="39"/>
        <v>0</v>
      </c>
      <c r="AH301" s="176">
        <f t="shared" si="39"/>
        <v>0</v>
      </c>
      <c r="AI301" s="72"/>
    </row>
    <row r="302" spans="1:35" ht="13">
      <c r="A302" s="72"/>
      <c r="B302" s="72"/>
      <c r="C302" s="72"/>
      <c r="D302" s="72"/>
      <c r="E302" s="72"/>
      <c r="F302" s="72"/>
      <c r="G302" s="72"/>
      <c r="H302" s="72"/>
      <c r="I302" s="72"/>
      <c r="J302" s="72"/>
      <c r="K302" s="72"/>
      <c r="L302" s="72"/>
      <c r="M302" s="72"/>
      <c r="N302" s="72"/>
      <c r="O302" s="72"/>
      <c r="P302" s="72"/>
      <c r="Q302" s="72"/>
      <c r="R302" s="72"/>
      <c r="S302" s="72"/>
      <c r="T302" s="72"/>
      <c r="U302" s="72"/>
      <c r="V302" s="72"/>
      <c r="W302" s="72"/>
      <c r="X302" s="72"/>
      <c r="Y302" s="72"/>
      <c r="AA302" s="91"/>
      <c r="AC302" s="176"/>
      <c r="AD302" s="176"/>
      <c r="AE302" s="176"/>
      <c r="AF302" s="170"/>
      <c r="AG302" s="176"/>
      <c r="AH302" s="176"/>
      <c r="AI302" s="72"/>
    </row>
    <row r="303" spans="1:35" ht="13">
      <c r="A303" s="72"/>
      <c r="B303" s="72"/>
      <c r="C303" s="74" t="s">
        <v>232</v>
      </c>
      <c r="D303" s="72"/>
      <c r="E303" s="72"/>
      <c r="F303" s="72"/>
      <c r="G303" s="72"/>
      <c r="H303" s="72"/>
      <c r="I303" s="72"/>
      <c r="J303" s="72"/>
      <c r="K303" s="72"/>
      <c r="L303" s="72"/>
      <c r="M303" s="72"/>
      <c r="N303" s="72"/>
      <c r="O303" s="72"/>
      <c r="P303" s="72"/>
      <c r="Q303" s="72"/>
      <c r="R303" s="72"/>
      <c r="S303" s="72"/>
      <c r="T303" s="72"/>
      <c r="U303" s="72"/>
      <c r="V303" s="72"/>
      <c r="W303" s="72"/>
      <c r="X303" s="72"/>
      <c r="Y303" s="72"/>
      <c r="AA303" s="91"/>
      <c r="AB303" s="91"/>
      <c r="AC303" s="72"/>
      <c r="AD303" s="72"/>
      <c r="AE303" s="72"/>
      <c r="AF303" s="72"/>
      <c r="AG303" s="72"/>
      <c r="AH303" s="72"/>
      <c r="AI303" s="72"/>
    </row>
    <row r="304" spans="1:35" ht="13">
      <c r="A304" s="72"/>
      <c r="B304" s="72"/>
      <c r="C304" s="72"/>
      <c r="D304" s="72"/>
      <c r="E304" s="72"/>
      <c r="F304" s="72"/>
      <c r="G304" s="72"/>
      <c r="H304" s="72"/>
      <c r="I304" s="105" t="s">
        <v>153</v>
      </c>
      <c r="J304" s="72"/>
      <c r="K304" s="105" t="s">
        <v>9</v>
      </c>
      <c r="L304" s="72"/>
      <c r="M304" s="72"/>
      <c r="N304" s="72"/>
      <c r="O304" s="72"/>
      <c r="P304" s="72"/>
      <c r="Q304" s="72"/>
      <c r="R304" s="72"/>
      <c r="S304" s="72"/>
      <c r="T304" s="72"/>
      <c r="U304" s="72"/>
      <c r="V304" s="72"/>
      <c r="W304" s="72"/>
      <c r="X304" s="72"/>
      <c r="Y304" s="72"/>
      <c r="AA304" s="91"/>
      <c r="AB304" s="91"/>
      <c r="AC304" s="72"/>
      <c r="AD304" s="72"/>
      <c r="AE304" s="72"/>
      <c r="AF304" s="72"/>
      <c r="AG304" s="72"/>
      <c r="AH304" s="72"/>
      <c r="AI304" s="72"/>
    </row>
    <row r="305" spans="1:35" ht="13">
      <c r="A305" s="72"/>
      <c r="B305" s="72"/>
      <c r="C305" s="72"/>
      <c r="D305" s="72"/>
      <c r="E305" s="72"/>
      <c r="F305" s="72"/>
      <c r="G305" s="72"/>
      <c r="H305" s="72"/>
      <c r="I305" s="105" t="s">
        <v>14</v>
      </c>
      <c r="J305" s="72"/>
      <c r="K305" s="105" t="s">
        <v>154</v>
      </c>
      <c r="L305" s="72"/>
      <c r="M305" s="72"/>
      <c r="N305" s="72"/>
      <c r="O305" s="72"/>
      <c r="P305" s="72"/>
      <c r="Q305" s="72"/>
      <c r="R305" s="72"/>
      <c r="S305" s="72"/>
      <c r="T305" s="72"/>
      <c r="U305" s="72"/>
      <c r="V305" s="72"/>
      <c r="W305" s="72"/>
      <c r="X305" s="72"/>
      <c r="Y305" s="72"/>
      <c r="AA305" s="91"/>
      <c r="AB305" s="91"/>
      <c r="AC305" s="72"/>
      <c r="AD305" s="72"/>
      <c r="AE305" s="72"/>
      <c r="AF305" s="72"/>
      <c r="AG305" s="72"/>
      <c r="AH305" s="72"/>
      <c r="AI305" s="72"/>
    </row>
    <row r="306" spans="1:35" ht="13">
      <c r="A306" s="72"/>
      <c r="B306" s="72"/>
      <c r="C306" s="72"/>
      <c r="D306" s="72"/>
      <c r="E306" s="72"/>
      <c r="F306" s="72" t="s">
        <v>148</v>
      </c>
      <c r="G306" s="72"/>
      <c r="H306" s="72"/>
      <c r="I306" s="7">
        <f>+W57</f>
        <v>0</v>
      </c>
      <c r="J306" s="72"/>
      <c r="K306" s="16">
        <v>0.5</v>
      </c>
      <c r="L306" s="72"/>
      <c r="M306" s="6">
        <f>SUM(I306*K306)</f>
        <v>0</v>
      </c>
      <c r="N306" s="72" t="s">
        <v>149</v>
      </c>
      <c r="O306" s="72"/>
      <c r="P306" s="72"/>
      <c r="Q306" s="72"/>
      <c r="R306" s="72"/>
      <c r="S306" s="72"/>
      <c r="T306" s="72"/>
      <c r="U306" s="72"/>
      <c r="V306" s="72"/>
      <c r="W306" s="72"/>
      <c r="X306" s="72"/>
      <c r="Y306" s="72"/>
      <c r="AA306" s="91"/>
      <c r="AB306" s="91"/>
      <c r="AC306" s="72"/>
      <c r="AD306" s="72"/>
      <c r="AE306" s="72"/>
      <c r="AF306" s="72"/>
      <c r="AG306" s="72"/>
      <c r="AH306" s="72"/>
      <c r="AI306" s="72"/>
    </row>
    <row r="307" spans="1:35" ht="13">
      <c r="A307" s="72"/>
      <c r="B307" s="72"/>
      <c r="C307" s="72"/>
      <c r="D307" s="72"/>
      <c r="E307" s="72"/>
      <c r="F307" s="72" t="s">
        <v>150</v>
      </c>
      <c r="G307" s="72"/>
      <c r="H307" s="72"/>
      <c r="I307" s="7">
        <f>+W85</f>
        <v>0</v>
      </c>
      <c r="J307" s="72"/>
      <c r="K307" s="16">
        <v>0.05</v>
      </c>
      <c r="L307" s="72"/>
      <c r="M307" s="6">
        <f>SUM(I307*K307)</f>
        <v>0</v>
      </c>
      <c r="N307" s="72" t="s">
        <v>149</v>
      </c>
      <c r="O307" s="72"/>
      <c r="P307" s="72"/>
      <c r="Q307" s="72"/>
      <c r="R307" s="72"/>
      <c r="S307" s="72"/>
      <c r="T307" s="72"/>
      <c r="U307" s="72"/>
      <c r="V307" s="72"/>
      <c r="W307" s="72"/>
      <c r="X307" s="72"/>
      <c r="Y307" s="72"/>
      <c r="AA307" s="91"/>
      <c r="AB307" s="91"/>
      <c r="AC307" s="72"/>
      <c r="AD307" s="72"/>
      <c r="AE307" s="72"/>
      <c r="AF307" s="72"/>
      <c r="AG307" s="72"/>
      <c r="AH307" s="72"/>
      <c r="AI307" s="72"/>
    </row>
    <row r="308" spans="1:35" ht="13">
      <c r="A308" s="72"/>
      <c r="B308" s="72"/>
      <c r="C308" s="72"/>
      <c r="D308" s="72"/>
      <c r="E308" s="72"/>
      <c r="F308" s="75" t="s">
        <v>343</v>
      </c>
      <c r="G308" s="72"/>
      <c r="H308" s="72"/>
      <c r="I308" s="7">
        <f>+N28+N29</f>
        <v>0</v>
      </c>
      <c r="J308" s="72"/>
      <c r="K308" s="16">
        <v>0.03</v>
      </c>
      <c r="L308" s="72"/>
      <c r="M308" s="241">
        <f>SUM(I308*K308)</f>
        <v>0</v>
      </c>
      <c r="N308" s="72" t="s">
        <v>149</v>
      </c>
      <c r="O308" s="72"/>
      <c r="P308" s="72"/>
      <c r="Q308" s="72"/>
      <c r="R308" s="72"/>
      <c r="S308" s="72"/>
      <c r="T308" s="72"/>
      <c r="U308" s="72"/>
      <c r="V308" s="72"/>
      <c r="W308" s="72"/>
      <c r="X308" s="72"/>
      <c r="Y308" s="72"/>
      <c r="AA308" s="91"/>
      <c r="AB308" s="91"/>
      <c r="AC308" s="72"/>
      <c r="AD308" s="72"/>
      <c r="AE308" s="72"/>
      <c r="AF308" s="72"/>
      <c r="AG308" s="72"/>
      <c r="AH308" s="72"/>
      <c r="AI308" s="72"/>
    </row>
    <row r="309" spans="1:35" ht="13">
      <c r="A309" s="72"/>
      <c r="B309" s="72"/>
      <c r="C309" s="72"/>
      <c r="D309" s="72"/>
      <c r="E309" s="72"/>
      <c r="F309" s="72"/>
      <c r="G309" s="72"/>
      <c r="H309" s="72"/>
      <c r="I309" s="72"/>
      <c r="J309" s="72"/>
      <c r="K309" s="72" t="s">
        <v>27</v>
      </c>
      <c r="L309" s="72"/>
      <c r="M309" s="6">
        <f>SUM(M306:M308)</f>
        <v>0</v>
      </c>
      <c r="N309" s="72" t="s">
        <v>149</v>
      </c>
      <c r="O309" s="72"/>
      <c r="P309" s="72"/>
      <c r="Q309" s="72"/>
      <c r="R309" s="72"/>
      <c r="S309" s="72"/>
      <c r="T309" s="72"/>
      <c r="U309" s="72"/>
      <c r="V309" s="72"/>
      <c r="W309" s="72"/>
      <c r="X309" s="72"/>
      <c r="Y309" s="72"/>
      <c r="AA309" s="91"/>
      <c r="AB309" s="91"/>
      <c r="AC309" s="72"/>
      <c r="AD309" s="72"/>
      <c r="AE309" s="72"/>
      <c r="AF309" s="72"/>
      <c r="AG309" s="72"/>
      <c r="AH309" s="72"/>
      <c r="AI309" s="72"/>
    </row>
    <row r="310" spans="1:35" ht="13">
      <c r="A310" s="72"/>
      <c r="B310" s="72"/>
      <c r="C310" s="72"/>
      <c r="D310" s="72"/>
      <c r="E310" s="72"/>
      <c r="F310" s="72"/>
      <c r="G310" s="72"/>
      <c r="H310" s="72"/>
      <c r="I310" s="72"/>
      <c r="J310" s="72"/>
      <c r="K310" s="72"/>
      <c r="L310" s="72"/>
      <c r="M310" s="72"/>
      <c r="N310" s="72"/>
      <c r="O310" s="72"/>
      <c r="P310" s="72"/>
      <c r="Q310" s="72"/>
      <c r="R310" s="72"/>
      <c r="S310" s="72"/>
      <c r="T310" s="72"/>
      <c r="U310" s="72"/>
      <c r="V310" s="72"/>
      <c r="W310" s="72"/>
      <c r="X310" s="72"/>
      <c r="Y310" s="72"/>
      <c r="AA310" s="91"/>
      <c r="AB310" s="91"/>
      <c r="AC310" s="72"/>
      <c r="AD310" s="72"/>
      <c r="AE310" s="72"/>
      <c r="AF310" s="72"/>
      <c r="AG310" s="72"/>
      <c r="AH310" s="72"/>
      <c r="AI310" s="72"/>
    </row>
    <row r="311" spans="1:35" ht="13">
      <c r="A311" s="72"/>
      <c r="B311" s="72"/>
      <c r="C311" s="72"/>
      <c r="D311" s="72"/>
      <c r="E311" s="72"/>
      <c r="F311" s="105" t="s">
        <v>152</v>
      </c>
      <c r="G311" s="72"/>
      <c r="H311" s="72"/>
      <c r="I311" s="72"/>
      <c r="J311" s="72"/>
      <c r="K311" s="15">
        <v>5</v>
      </c>
      <c r="L311" s="72" t="s">
        <v>85</v>
      </c>
      <c r="M311" s="248">
        <f>SUM(M309/100*K311)</f>
        <v>0</v>
      </c>
      <c r="N311" s="72" t="s">
        <v>149</v>
      </c>
      <c r="O311" s="72"/>
      <c r="P311" s="72"/>
      <c r="Q311" s="72"/>
      <c r="R311" s="72"/>
      <c r="S311" s="72"/>
      <c r="T311" s="72"/>
      <c r="U311" s="72"/>
      <c r="V311" s="72"/>
      <c r="W311" s="72"/>
      <c r="X311" s="72"/>
      <c r="Y311" s="72"/>
      <c r="AA311" s="91"/>
      <c r="AB311" s="91"/>
      <c r="AC311" s="72"/>
      <c r="AD311" s="72"/>
      <c r="AE311" s="72"/>
      <c r="AF311" s="72"/>
      <c r="AG311" s="72"/>
      <c r="AH311" s="72"/>
      <c r="AI311" s="72"/>
    </row>
    <row r="312" spans="1:35" ht="13">
      <c r="A312" s="72"/>
      <c r="B312" s="72"/>
      <c r="C312" s="72"/>
      <c r="D312" s="72"/>
      <c r="E312" s="72"/>
      <c r="F312" s="72" t="s">
        <v>151</v>
      </c>
      <c r="G312" s="72"/>
      <c r="H312" s="72"/>
      <c r="I312" s="75" t="s">
        <v>368</v>
      </c>
      <c r="J312" s="72"/>
      <c r="K312" s="72"/>
      <c r="L312" s="75" t="s">
        <v>369</v>
      </c>
      <c r="M312">
        <v>0.33400000000000002</v>
      </c>
      <c r="N312" s="72" t="s">
        <v>370</v>
      </c>
      <c r="O312" s="72"/>
      <c r="P312" s="72"/>
      <c r="Q312" s="72"/>
      <c r="R312" s="72"/>
      <c r="S312" s="72"/>
      <c r="T312" s="72"/>
      <c r="U312" s="72"/>
      <c r="V312" s="72"/>
      <c r="W312" s="72"/>
      <c r="X312" s="72"/>
      <c r="Y312" s="72"/>
      <c r="AA312" s="91"/>
      <c r="AB312" s="91"/>
      <c r="AC312" s="72"/>
      <c r="AD312" s="72"/>
      <c r="AE312" s="72"/>
      <c r="AF312" s="72"/>
      <c r="AG312" s="72"/>
      <c r="AH312" s="72"/>
      <c r="AI312" s="72"/>
    </row>
    <row r="313" spans="1:35" ht="13">
      <c r="A313" s="72"/>
      <c r="B313" s="72"/>
      <c r="C313" s="72"/>
      <c r="D313" s="72"/>
      <c r="E313" s="72"/>
      <c r="F313" s="72"/>
      <c r="G313" s="72"/>
      <c r="H313" s="72"/>
      <c r="I313" s="75"/>
      <c r="J313" s="72"/>
      <c r="K313" s="72"/>
      <c r="L313" s="72"/>
      <c r="M313" s="72"/>
      <c r="N313" s="72"/>
      <c r="O313" s="72"/>
      <c r="P313" s="72"/>
      <c r="Q313" s="72"/>
      <c r="R313" s="72"/>
      <c r="S313" s="72"/>
      <c r="T313" s="72"/>
      <c r="U313" s="72"/>
      <c r="V313" s="72"/>
      <c r="W313" s="72"/>
      <c r="X313" s="72"/>
      <c r="Y313" s="72"/>
      <c r="AA313" s="91"/>
      <c r="AB313" s="91"/>
      <c r="AC313" s="72"/>
      <c r="AD313" s="72"/>
      <c r="AE313" s="72"/>
      <c r="AF313" s="72"/>
      <c r="AG313" s="72"/>
      <c r="AH313" s="72"/>
      <c r="AI313" s="72"/>
    </row>
    <row r="314" spans="1:35" ht="13">
      <c r="A314" s="72"/>
      <c r="B314" s="72"/>
      <c r="C314" s="72"/>
      <c r="D314" s="72"/>
      <c r="E314" s="72"/>
      <c r="F314" s="72"/>
      <c r="G314" s="72"/>
      <c r="H314" s="72"/>
      <c r="I314" s="248">
        <f>+M311</f>
        <v>0</v>
      </c>
      <c r="J314" s="75" t="s">
        <v>365</v>
      </c>
      <c r="K314" s="72"/>
      <c r="L314" s="72"/>
      <c r="M314" s="244">
        <f>SUM(I314*M312)</f>
        <v>0</v>
      </c>
      <c r="N314" s="75" t="s">
        <v>366</v>
      </c>
      <c r="O314" s="72"/>
      <c r="P314" s="72"/>
      <c r="Q314" s="72"/>
      <c r="R314" s="72"/>
      <c r="S314" s="72"/>
      <c r="T314" s="72"/>
      <c r="U314" s="72"/>
      <c r="V314" s="72"/>
      <c r="W314" s="72"/>
      <c r="X314" s="72"/>
      <c r="Y314" s="72"/>
      <c r="AA314" s="91"/>
      <c r="AB314" s="91"/>
      <c r="AC314" s="72"/>
      <c r="AD314" s="72"/>
      <c r="AE314" s="72"/>
      <c r="AF314" s="72"/>
      <c r="AG314" s="72"/>
      <c r="AH314" s="72"/>
      <c r="AI314" s="72"/>
    </row>
    <row r="315" spans="1:35" ht="13">
      <c r="A315" s="72"/>
      <c r="B315" s="72"/>
      <c r="C315" s="72"/>
      <c r="D315" s="72"/>
      <c r="E315" s="72"/>
      <c r="F315" s="72"/>
      <c r="G315" s="72"/>
      <c r="H315" s="72"/>
      <c r="I315" s="75" t="s">
        <v>375</v>
      </c>
      <c r="J315" s="72"/>
      <c r="K315" s="72"/>
      <c r="L315" s="75" t="s">
        <v>369</v>
      </c>
      <c r="M315" s="7">
        <f>+M296</f>
        <v>730</v>
      </c>
      <c r="N315" s="101" t="str">
        <f>+$H$18</f>
        <v>EUR</v>
      </c>
      <c r="O315" s="72"/>
      <c r="P315" s="72"/>
      <c r="Q315" s="72"/>
      <c r="R315" s="72"/>
      <c r="S315" s="72"/>
      <c r="T315" s="72"/>
      <c r="U315" s="72"/>
      <c r="V315" s="72"/>
      <c r="W315" s="72"/>
      <c r="X315" s="72"/>
      <c r="Y315" s="72"/>
      <c r="AA315" s="91"/>
      <c r="AB315" s="91"/>
      <c r="AC315" s="72"/>
      <c r="AD315" s="72"/>
      <c r="AE315" s="72"/>
      <c r="AF315" s="72"/>
      <c r="AG315" s="72"/>
      <c r="AH315" s="72"/>
      <c r="AI315" s="72"/>
    </row>
    <row r="316" spans="1:35" ht="13">
      <c r="A316" s="72"/>
      <c r="B316" s="72"/>
      <c r="C316" s="72"/>
      <c r="D316" s="72"/>
      <c r="E316" s="72"/>
      <c r="F316" s="72"/>
      <c r="G316" s="72"/>
      <c r="H316" s="72"/>
      <c r="I316" s="75"/>
      <c r="J316" s="72"/>
      <c r="K316" s="72"/>
      <c r="L316" s="72"/>
      <c r="M316" s="72"/>
      <c r="N316" s="72"/>
      <c r="O316" s="72"/>
      <c r="P316" s="75"/>
      <c r="Q316" s="72"/>
      <c r="R316" s="72"/>
      <c r="S316" s="72"/>
      <c r="T316" s="72"/>
      <c r="U316" s="72"/>
      <c r="V316" s="72"/>
      <c r="W316" s="72"/>
      <c r="X316" s="72"/>
      <c r="Y316" s="72"/>
      <c r="AA316" s="91"/>
      <c r="AB316" s="91"/>
      <c r="AC316" s="72"/>
      <c r="AD316" s="72"/>
      <c r="AE316" s="72"/>
      <c r="AF316" s="72"/>
      <c r="AG316" s="72"/>
      <c r="AH316" s="72"/>
      <c r="AI316" s="72"/>
    </row>
    <row r="317" spans="1:35" ht="13">
      <c r="A317" s="72"/>
      <c r="B317" s="72"/>
      <c r="C317" s="72"/>
      <c r="D317" s="72"/>
      <c r="E317" s="72"/>
      <c r="F317" s="72"/>
      <c r="G317" s="72"/>
      <c r="H317" s="72"/>
      <c r="I317" s="75"/>
      <c r="J317" s="72"/>
      <c r="K317" s="72"/>
      <c r="L317" s="72"/>
      <c r="O317" s="72"/>
      <c r="P317" s="6"/>
      <c r="Q317" s="101"/>
      <c r="R317" s="72"/>
      <c r="S317" s="72"/>
      <c r="T317" s="72"/>
      <c r="U317" s="72"/>
      <c r="V317" s="72"/>
      <c r="W317" s="72"/>
      <c r="X317" s="72"/>
      <c r="Y317" s="72"/>
      <c r="AA317" s="91"/>
      <c r="AB317" s="91"/>
      <c r="AC317" s="72"/>
      <c r="AD317" s="72"/>
      <c r="AE317" s="72"/>
      <c r="AF317" s="72"/>
      <c r="AG317" s="72"/>
      <c r="AH317" s="72"/>
      <c r="AI317" s="72"/>
    </row>
    <row r="318" spans="1:35" ht="13">
      <c r="A318" s="72"/>
      <c r="B318" s="72"/>
      <c r="C318" s="72"/>
      <c r="D318" s="72"/>
      <c r="E318" s="72"/>
      <c r="F318" s="105" t="s">
        <v>180</v>
      </c>
      <c r="G318" s="72"/>
      <c r="H318" s="72"/>
      <c r="I318" s="72"/>
      <c r="J318" s="72"/>
      <c r="K318" s="72"/>
      <c r="L318" s="72"/>
      <c r="M318" s="6">
        <f>SUM(M314*M315)</f>
        <v>0</v>
      </c>
      <c r="N318" s="101" t="str">
        <f>+$H$18</f>
        <v>EUR</v>
      </c>
      <c r="O318" s="72"/>
      <c r="P318" s="72"/>
      <c r="Q318" s="72"/>
      <c r="R318" s="72"/>
      <c r="S318" s="72"/>
      <c r="T318" s="72"/>
      <c r="U318" s="72"/>
      <c r="V318" s="72"/>
      <c r="W318" s="72"/>
      <c r="X318" s="72"/>
      <c r="Y318" s="72"/>
      <c r="AA318" s="91"/>
      <c r="AB318" s="91"/>
      <c r="AC318" s="72"/>
      <c r="AD318" s="72"/>
      <c r="AE318" s="72"/>
      <c r="AF318" s="72"/>
      <c r="AG318" s="72"/>
      <c r="AH318" s="72"/>
      <c r="AI318" s="72"/>
    </row>
    <row r="319" spans="1:35" ht="13">
      <c r="A319" s="72"/>
      <c r="B319" s="72"/>
      <c r="C319" s="72"/>
      <c r="D319" s="72"/>
      <c r="E319" s="72"/>
      <c r="F319" s="72"/>
      <c r="G319" s="72"/>
      <c r="H319" s="72"/>
      <c r="I319" s="72"/>
      <c r="J319" s="72"/>
      <c r="K319" s="72"/>
      <c r="L319" s="72"/>
      <c r="M319" s="72"/>
      <c r="N319" s="72"/>
      <c r="O319" s="72"/>
      <c r="P319" s="72"/>
      <c r="Q319" s="72"/>
      <c r="R319" s="72"/>
      <c r="S319" s="72"/>
      <c r="T319" s="72"/>
      <c r="U319" s="72"/>
      <c r="V319" s="72"/>
      <c r="W319" s="72"/>
      <c r="X319" s="72"/>
      <c r="Y319" s="72"/>
      <c r="AA319" s="91"/>
      <c r="AB319" s="91"/>
      <c r="AC319" s="72"/>
      <c r="AD319" s="72"/>
      <c r="AE319" s="72"/>
      <c r="AF319" s="72"/>
      <c r="AG319" s="72"/>
      <c r="AH319" s="72"/>
      <c r="AI319" s="72"/>
    </row>
    <row r="320" spans="1:35" ht="13">
      <c r="A320" s="72"/>
      <c r="B320" s="72"/>
      <c r="C320" s="72"/>
      <c r="D320" s="72"/>
      <c r="E320" s="72"/>
      <c r="F320" s="105" t="s">
        <v>179</v>
      </c>
      <c r="G320" s="72"/>
      <c r="H320" s="72"/>
      <c r="I320" s="72"/>
      <c r="J320" s="72"/>
      <c r="K320" s="72"/>
      <c r="L320" s="72"/>
      <c r="M320" s="6">
        <f>M294</f>
        <v>0</v>
      </c>
      <c r="N320" s="101" t="str">
        <f>+$H$18</f>
        <v>EUR</v>
      </c>
      <c r="O320" s="72"/>
      <c r="P320" s="72"/>
      <c r="Q320" s="72"/>
      <c r="R320" s="72"/>
      <c r="S320" s="72"/>
      <c r="T320" s="72"/>
      <c r="U320" s="72"/>
      <c r="V320" s="72"/>
      <c r="W320" s="72"/>
      <c r="X320" s="72"/>
      <c r="Y320" s="72"/>
      <c r="AA320" s="91"/>
      <c r="AB320" s="91"/>
      <c r="AC320" s="72"/>
      <c r="AD320" s="72"/>
      <c r="AE320" s="72"/>
      <c r="AF320" s="72"/>
      <c r="AG320" s="72"/>
      <c r="AH320" s="72"/>
      <c r="AI320" s="72"/>
    </row>
    <row r="321" spans="1:83" ht="13">
      <c r="A321" s="72"/>
      <c r="B321" s="72"/>
      <c r="C321" s="72"/>
      <c r="D321" s="72"/>
      <c r="E321" s="72"/>
      <c r="F321" s="72"/>
      <c r="G321" s="72"/>
      <c r="H321" s="72"/>
      <c r="I321" s="72"/>
      <c r="J321" s="72"/>
      <c r="K321" s="72"/>
      <c r="L321" s="72"/>
      <c r="M321" s="72"/>
      <c r="N321" s="72"/>
      <c r="O321" s="72"/>
      <c r="P321" s="72"/>
      <c r="Q321" s="72"/>
      <c r="R321" s="72"/>
      <c r="S321" s="72"/>
      <c r="T321" s="72"/>
      <c r="U321" s="72"/>
      <c r="V321" s="72"/>
      <c r="W321" s="72"/>
      <c r="X321" s="72"/>
      <c r="Y321" s="72"/>
      <c r="AA321" s="91"/>
      <c r="AB321" s="91"/>
      <c r="AC321" s="72"/>
      <c r="AD321" s="72"/>
      <c r="AE321" s="72"/>
      <c r="AF321" s="72"/>
      <c r="AG321" s="72"/>
      <c r="AH321" s="72"/>
      <c r="AI321" s="72"/>
    </row>
    <row r="322" spans="1:83" ht="13.5" thickBot="1">
      <c r="A322" s="72"/>
      <c r="B322" s="72"/>
      <c r="C322" s="72"/>
      <c r="D322" s="72"/>
      <c r="E322" s="72"/>
      <c r="F322" s="242" t="s">
        <v>357</v>
      </c>
      <c r="G322" s="72"/>
      <c r="H322" s="72"/>
      <c r="I322" s="247">
        <f>SUM(M311+N298)</f>
        <v>0</v>
      </c>
      <c r="J322" s="139" t="s">
        <v>364</v>
      </c>
      <c r="K322" s="242"/>
      <c r="L322" s="72"/>
      <c r="M322" s="243" t="s">
        <v>356</v>
      </c>
      <c r="N322" s="139">
        <f>M318+M320</f>
        <v>0</v>
      </c>
      <c r="O322" s="88" t="str">
        <f>$H$18&amp;" added to Total Savings"</f>
        <v>EUR added to Total Savings</v>
      </c>
      <c r="P322" s="70"/>
      <c r="Q322" s="70"/>
      <c r="R322" s="89"/>
      <c r="S322" s="89"/>
      <c r="T322" s="89"/>
      <c r="U322" s="89"/>
      <c r="V322" s="89"/>
      <c r="W322" s="89"/>
      <c r="X322" s="89"/>
      <c r="Y322" s="89"/>
      <c r="Z322" s="157"/>
      <c r="AA322" s="132"/>
      <c r="AB322" s="132"/>
      <c r="AC322" s="89"/>
      <c r="AD322" s="72"/>
      <c r="AE322" s="72"/>
      <c r="AF322" s="72"/>
      <c r="AG322" s="72"/>
      <c r="AH322" s="72"/>
      <c r="AI322" s="72"/>
    </row>
    <row r="323" spans="1:83" ht="13.5" thickTop="1">
      <c r="A323" s="72"/>
      <c r="B323" s="72"/>
      <c r="C323" s="72"/>
      <c r="D323" s="72"/>
      <c r="E323" s="72"/>
      <c r="F323" s="72"/>
      <c r="G323" s="72"/>
      <c r="H323" s="72"/>
      <c r="I323" s="72"/>
      <c r="J323" s="72"/>
      <c r="K323" s="72"/>
      <c r="L323" s="72"/>
      <c r="M323" s="72"/>
      <c r="N323" s="72"/>
      <c r="O323" s="72"/>
      <c r="P323" s="72"/>
      <c r="Q323" s="72"/>
      <c r="R323" s="72"/>
      <c r="S323" s="72"/>
      <c r="T323" s="72"/>
      <c r="U323" s="72"/>
      <c r="V323" s="72"/>
      <c r="W323" s="72"/>
      <c r="X323" s="72"/>
      <c r="Y323" s="72"/>
      <c r="AA323" s="91"/>
      <c r="AB323" s="91"/>
      <c r="AC323" s="72"/>
      <c r="AD323" s="72"/>
      <c r="AE323" s="72"/>
      <c r="AF323" s="72"/>
      <c r="AG323" s="72"/>
      <c r="AH323" s="72"/>
      <c r="AI323" s="72"/>
    </row>
    <row r="324" spans="1:83" ht="13">
      <c r="A324" s="72"/>
      <c r="B324" s="72"/>
      <c r="C324" s="72"/>
      <c r="D324" s="72"/>
      <c r="E324" s="72"/>
      <c r="F324" s="72"/>
      <c r="G324" s="72"/>
      <c r="H324" s="72"/>
      <c r="I324" s="72"/>
      <c r="J324" s="72"/>
      <c r="K324" s="72"/>
      <c r="L324" s="72"/>
      <c r="M324" s="72"/>
      <c r="N324" s="72"/>
      <c r="O324" s="72"/>
      <c r="P324" s="72"/>
      <c r="Q324" s="72"/>
      <c r="R324" s="72"/>
      <c r="S324" s="72"/>
      <c r="T324" s="72"/>
      <c r="U324" s="72"/>
      <c r="V324" s="72"/>
      <c r="W324" s="72"/>
      <c r="X324" s="72"/>
      <c r="Y324" s="72"/>
      <c r="AA324" s="91"/>
      <c r="AB324" s="91"/>
      <c r="AC324" s="72"/>
      <c r="AD324" s="72"/>
      <c r="AE324" s="72"/>
      <c r="AF324" s="72"/>
      <c r="AG324" s="72"/>
      <c r="AH324" s="72"/>
      <c r="AI324" s="72"/>
    </row>
    <row r="325" spans="1:83" s="52" customFormat="1" ht="7" customHeight="1">
      <c r="M325" s="53"/>
      <c r="N325" s="54"/>
      <c r="Z325" s="153"/>
      <c r="AJ325" s="72"/>
      <c r="AK325" s="72"/>
      <c r="AL325" s="72"/>
      <c r="AM325" s="72"/>
      <c r="AN325" s="72"/>
      <c r="AO325" s="72"/>
      <c r="AP325" s="72"/>
      <c r="AQ325" s="72"/>
      <c r="AR325" s="72"/>
      <c r="AS325" s="72"/>
      <c r="AT325" s="72"/>
      <c r="AU325" s="72"/>
      <c r="AV325" s="72"/>
      <c r="AW325" s="72"/>
      <c r="AX325" s="72"/>
      <c r="AY325" s="72"/>
      <c r="AZ325" s="72"/>
      <c r="BA325" s="72"/>
      <c r="BB325" s="72"/>
      <c r="BC325" s="72"/>
      <c r="BD325" s="72"/>
      <c r="BE325" s="72"/>
      <c r="BF325" s="72"/>
      <c r="BG325" s="72"/>
      <c r="BH325" s="72"/>
      <c r="BI325" s="72"/>
      <c r="BJ325" s="72"/>
      <c r="BK325" s="72"/>
      <c r="BL325" s="72"/>
      <c r="BM325" s="72"/>
      <c r="BN325" s="72"/>
      <c r="BO325" s="72"/>
      <c r="BP325" s="72"/>
      <c r="BQ325" s="72"/>
      <c r="BR325" s="72"/>
      <c r="BS325" s="72"/>
      <c r="BT325" s="72"/>
      <c r="BU325" s="72"/>
      <c r="BV325" s="72"/>
      <c r="BW325" s="72"/>
      <c r="BX325" s="72"/>
      <c r="BY325" s="72"/>
      <c r="BZ325" s="72"/>
      <c r="CA325" s="72"/>
      <c r="CB325" s="72"/>
      <c r="CC325" s="72"/>
      <c r="CD325" s="72"/>
      <c r="CE325" s="72"/>
    </row>
    <row r="326" spans="1:83" s="56" customFormat="1" ht="15" customHeight="1">
      <c r="A326" s="232" t="s">
        <v>117</v>
      </c>
      <c r="B326" s="55"/>
      <c r="C326" s="55"/>
      <c r="D326" s="55"/>
      <c r="E326" s="55"/>
      <c r="F326" s="55"/>
      <c r="G326" s="55"/>
      <c r="H326" s="55"/>
      <c r="I326" s="55"/>
      <c r="J326" s="55"/>
      <c r="K326" s="55"/>
      <c r="L326" s="55"/>
      <c r="M326" s="55"/>
      <c r="N326" s="55"/>
      <c r="O326" s="55"/>
      <c r="P326" s="55"/>
      <c r="Z326" s="153"/>
      <c r="AJ326" s="72"/>
      <c r="AK326" s="72"/>
      <c r="AL326" s="72"/>
      <c r="AM326" s="72"/>
      <c r="AN326" s="72"/>
      <c r="AO326" s="72"/>
      <c r="AP326" s="72"/>
      <c r="AQ326" s="72"/>
      <c r="AR326" s="72"/>
      <c r="AS326" s="72"/>
      <c r="AT326" s="72"/>
      <c r="AU326" s="72"/>
      <c r="AV326" s="72"/>
      <c r="AW326" s="72"/>
      <c r="AX326" s="72"/>
      <c r="AY326" s="72"/>
      <c r="AZ326" s="72"/>
      <c r="BA326" s="72"/>
      <c r="BB326" s="72"/>
      <c r="BC326" s="72"/>
      <c r="BD326" s="72"/>
      <c r="BE326" s="72"/>
      <c r="BF326" s="72"/>
      <c r="BG326" s="72"/>
      <c r="BH326" s="72"/>
      <c r="BI326" s="72"/>
      <c r="BJ326" s="72"/>
      <c r="BK326" s="72"/>
      <c r="BL326" s="72"/>
      <c r="BM326" s="72"/>
      <c r="BN326" s="72"/>
      <c r="BO326" s="72"/>
      <c r="BP326" s="72"/>
      <c r="BQ326" s="72"/>
      <c r="BR326" s="72"/>
      <c r="BS326" s="72"/>
      <c r="BT326" s="72"/>
      <c r="BU326" s="72"/>
      <c r="BV326" s="72"/>
      <c r="BW326" s="72"/>
      <c r="BX326" s="72"/>
      <c r="BY326" s="72"/>
      <c r="BZ326" s="72"/>
      <c r="CA326" s="72"/>
      <c r="CB326" s="72"/>
      <c r="CC326" s="72"/>
      <c r="CD326" s="72"/>
      <c r="CE326" s="72"/>
    </row>
    <row r="327" spans="1:83" s="72" customFormat="1" ht="13">
      <c r="Z327" s="153"/>
      <c r="AA327" s="91"/>
      <c r="AB327" s="91"/>
    </row>
    <row r="328" spans="1:83" s="72" customFormat="1" ht="13">
      <c r="Z328" s="153"/>
      <c r="AA328" s="91"/>
      <c r="AB328" s="91"/>
    </row>
    <row r="329" spans="1:83" s="72" customFormat="1" ht="13">
      <c r="Z329" s="153"/>
      <c r="AA329" s="91"/>
      <c r="AB329" s="91"/>
    </row>
    <row r="330" spans="1:83" s="72" customFormat="1" ht="13">
      <c r="Z330" s="153"/>
      <c r="AA330" s="91"/>
      <c r="AB330" s="91"/>
    </row>
    <row r="331" spans="1:83" s="72" customFormat="1" ht="13">
      <c r="Z331" s="153"/>
      <c r="AA331" s="91"/>
      <c r="AB331" s="91"/>
    </row>
    <row r="332" spans="1:83" s="72" customFormat="1" ht="13">
      <c r="Z332" s="153"/>
      <c r="AA332" s="91"/>
      <c r="AB332" s="91"/>
    </row>
    <row r="333" spans="1:83" s="72" customFormat="1" ht="13">
      <c r="Z333" s="153"/>
      <c r="AA333" s="91"/>
      <c r="AB333" s="91"/>
    </row>
    <row r="334" spans="1:83" s="72" customFormat="1" ht="13">
      <c r="Z334" s="153"/>
      <c r="AA334" s="91"/>
      <c r="AB334" s="91"/>
    </row>
    <row r="335" spans="1:83" s="72" customFormat="1" ht="13">
      <c r="Z335" s="153"/>
      <c r="AA335" s="91"/>
      <c r="AB335" s="91"/>
    </row>
    <row r="336" spans="1:83" s="72" customFormat="1" ht="13">
      <c r="Z336" s="153"/>
      <c r="AA336" s="91"/>
      <c r="AB336" s="91"/>
    </row>
    <row r="337" spans="26:28" s="72" customFormat="1" ht="13">
      <c r="Z337" s="153"/>
      <c r="AA337" s="91"/>
      <c r="AB337" s="91"/>
    </row>
    <row r="338" spans="26:28" s="72" customFormat="1" ht="13">
      <c r="Z338" s="153"/>
      <c r="AA338" s="91"/>
      <c r="AB338" s="91"/>
    </row>
    <row r="339" spans="26:28" s="72" customFormat="1" ht="13">
      <c r="Z339" s="153"/>
      <c r="AA339" s="91"/>
      <c r="AB339" s="91"/>
    </row>
    <row r="340" spans="26:28" s="72" customFormat="1" ht="13">
      <c r="Z340" s="153"/>
      <c r="AA340" s="91"/>
      <c r="AB340" s="91"/>
    </row>
    <row r="341" spans="26:28" s="72" customFormat="1" ht="13">
      <c r="Z341" s="153"/>
      <c r="AA341" s="146"/>
      <c r="AB341" s="146"/>
    </row>
    <row r="342" spans="26:28" s="72" customFormat="1" ht="13">
      <c r="Z342" s="153"/>
      <c r="AA342" s="146"/>
      <c r="AB342" s="146"/>
    </row>
    <row r="343" spans="26:28" s="72" customFormat="1" ht="13">
      <c r="Z343" s="153"/>
      <c r="AA343" s="147"/>
      <c r="AB343" s="147"/>
    </row>
    <row r="344" spans="26:28" s="72" customFormat="1" ht="13">
      <c r="Z344" s="153"/>
      <c r="AA344" s="146"/>
      <c r="AB344" s="146"/>
    </row>
    <row r="345" spans="26:28" s="72" customFormat="1" ht="13">
      <c r="Z345" s="153"/>
      <c r="AA345" s="147"/>
      <c r="AB345" s="147"/>
    </row>
    <row r="346" spans="26:28" s="72" customFormat="1" ht="13">
      <c r="Z346" s="153"/>
      <c r="AA346" s="147"/>
      <c r="AB346" s="147"/>
    </row>
    <row r="347" spans="26:28" s="72" customFormat="1" ht="13">
      <c r="Z347" s="153"/>
      <c r="AA347" s="146"/>
      <c r="AB347" s="146"/>
    </row>
    <row r="348" spans="26:28" s="72" customFormat="1" ht="13">
      <c r="Z348" s="153"/>
      <c r="AA348" s="146"/>
      <c r="AB348" s="146"/>
    </row>
    <row r="349" spans="26:28" s="72" customFormat="1" ht="13">
      <c r="Z349" s="153"/>
      <c r="AA349" s="146"/>
      <c r="AB349" s="146"/>
    </row>
    <row r="350" spans="26:28" s="72" customFormat="1" ht="13">
      <c r="Z350" s="153"/>
      <c r="AA350" s="146"/>
      <c r="AB350" s="146"/>
    </row>
    <row r="351" spans="26:28" s="72" customFormat="1" ht="13">
      <c r="Z351" s="153"/>
      <c r="AA351" s="147"/>
      <c r="AB351" s="147"/>
    </row>
    <row r="352" spans="26:28" s="72" customFormat="1" ht="13">
      <c r="Z352" s="153"/>
      <c r="AA352" s="146"/>
      <c r="AB352" s="146"/>
    </row>
    <row r="353" spans="26:28" s="72" customFormat="1" ht="13">
      <c r="Z353" s="153"/>
      <c r="AA353" s="147"/>
      <c r="AB353" s="147"/>
    </row>
    <row r="354" spans="26:28" s="72" customFormat="1" ht="13">
      <c r="Z354" s="153"/>
      <c r="AA354" s="147"/>
      <c r="AB354" s="147"/>
    </row>
    <row r="355" spans="26:28" s="72" customFormat="1" ht="13">
      <c r="Z355" s="153"/>
      <c r="AA355" s="146"/>
      <c r="AB355" s="146"/>
    </row>
    <row r="356" spans="26:28" s="72" customFormat="1" ht="13">
      <c r="Z356" s="153"/>
      <c r="AA356" s="147"/>
      <c r="AB356" s="147"/>
    </row>
    <row r="357" spans="26:28" s="72" customFormat="1" ht="13">
      <c r="Z357" s="153"/>
      <c r="AA357" s="146"/>
      <c r="AB357" s="146"/>
    </row>
    <row r="358" spans="26:28" s="72" customFormat="1" ht="13">
      <c r="Z358" s="153"/>
      <c r="AA358" s="147"/>
      <c r="AB358" s="147"/>
    </row>
    <row r="359" spans="26:28" s="72" customFormat="1" ht="13">
      <c r="Z359" s="153"/>
      <c r="AA359" s="146"/>
      <c r="AB359" s="146"/>
    </row>
    <row r="360" spans="26:28" s="72" customFormat="1">
      <c r="Z360" s="153"/>
      <c r="AA360" s="148"/>
      <c r="AB360" s="148"/>
    </row>
    <row r="361" spans="26:28" s="72" customFormat="1">
      <c r="Z361" s="153"/>
    </row>
    <row r="362" spans="26:28" s="72" customFormat="1">
      <c r="Z362" s="153"/>
    </row>
    <row r="363" spans="26:28" s="72" customFormat="1">
      <c r="Z363" s="153"/>
    </row>
    <row r="364" spans="26:28" s="72" customFormat="1">
      <c r="Z364" s="153"/>
    </row>
    <row r="365" spans="26:28" s="72" customFormat="1">
      <c r="Z365" s="153"/>
    </row>
    <row r="366" spans="26:28" s="72" customFormat="1">
      <c r="Z366" s="153"/>
    </row>
    <row r="367" spans="26:28" s="72" customFormat="1">
      <c r="Z367" s="153"/>
    </row>
    <row r="368" spans="26:28" s="72" customFormat="1">
      <c r="Z368" s="153"/>
    </row>
    <row r="369" spans="26:26" s="72" customFormat="1">
      <c r="Z369" s="153"/>
    </row>
    <row r="370" spans="26:26" s="72" customFormat="1">
      <c r="Z370" s="153"/>
    </row>
    <row r="371" spans="26:26" s="72" customFormat="1">
      <c r="Z371" s="153"/>
    </row>
    <row r="372" spans="26:26" s="72" customFormat="1">
      <c r="Z372" s="153"/>
    </row>
    <row r="373" spans="26:26" s="72" customFormat="1">
      <c r="Z373" s="153"/>
    </row>
    <row r="374" spans="26:26" s="72" customFormat="1">
      <c r="Z374" s="153"/>
    </row>
    <row r="375" spans="26:26" s="72" customFormat="1">
      <c r="Z375" s="153"/>
    </row>
    <row r="376" spans="26:26" s="72" customFormat="1">
      <c r="Z376" s="153"/>
    </row>
    <row r="377" spans="26:26" s="72" customFormat="1">
      <c r="Z377" s="153"/>
    </row>
    <row r="378" spans="26:26" s="72" customFormat="1">
      <c r="Z378" s="153"/>
    </row>
    <row r="379" spans="26:26" s="72" customFormat="1">
      <c r="Z379" s="153"/>
    </row>
    <row r="380" spans="26:26" s="72" customFormat="1">
      <c r="Z380" s="153"/>
    </row>
    <row r="381" spans="26:26" s="72" customFormat="1">
      <c r="Z381" s="153"/>
    </row>
    <row r="382" spans="26:26" s="72" customFormat="1">
      <c r="Z382" s="153"/>
    </row>
    <row r="383" spans="26:26" s="72" customFormat="1">
      <c r="Z383" s="153"/>
    </row>
    <row r="384" spans="26:26" s="72" customFormat="1">
      <c r="Z384" s="153"/>
    </row>
    <row r="385" spans="26:26" s="72" customFormat="1">
      <c r="Z385" s="153"/>
    </row>
    <row r="386" spans="26:26" s="72" customFormat="1">
      <c r="Z386" s="153"/>
    </row>
    <row r="387" spans="26:26" s="72" customFormat="1">
      <c r="Z387" s="153"/>
    </row>
    <row r="388" spans="26:26" s="72" customFormat="1">
      <c r="Z388" s="153"/>
    </row>
    <row r="389" spans="26:26" s="72" customFormat="1">
      <c r="Z389" s="153"/>
    </row>
    <row r="390" spans="26:26" s="72" customFormat="1">
      <c r="Z390" s="153"/>
    </row>
    <row r="391" spans="26:26" s="72" customFormat="1">
      <c r="Z391" s="153"/>
    </row>
    <row r="392" spans="26:26" s="72" customFormat="1">
      <c r="Z392" s="153"/>
    </row>
    <row r="393" spans="26:26" s="72" customFormat="1">
      <c r="Z393" s="153"/>
    </row>
    <row r="394" spans="26:26" s="72" customFormat="1">
      <c r="Z394" s="153"/>
    </row>
    <row r="395" spans="26:26" s="72" customFormat="1">
      <c r="Z395" s="153"/>
    </row>
    <row r="396" spans="26:26" s="72" customFormat="1">
      <c r="Z396" s="153"/>
    </row>
    <row r="397" spans="26:26" s="72" customFormat="1">
      <c r="Z397" s="153"/>
    </row>
    <row r="398" spans="26:26" s="72" customFormat="1">
      <c r="Z398" s="153"/>
    </row>
    <row r="399" spans="26:26" s="72" customFormat="1">
      <c r="Z399" s="153"/>
    </row>
    <row r="400" spans="26:26" s="72" customFormat="1">
      <c r="Z400" s="153"/>
    </row>
    <row r="401" spans="26:26" s="72" customFormat="1">
      <c r="Z401" s="153"/>
    </row>
    <row r="402" spans="26:26" s="72" customFormat="1">
      <c r="Z402" s="153"/>
    </row>
    <row r="403" spans="26:26" s="72" customFormat="1">
      <c r="Z403" s="153"/>
    </row>
    <row r="404" spans="26:26" s="72" customFormat="1">
      <c r="Z404" s="153"/>
    </row>
    <row r="405" spans="26:26" s="72" customFormat="1">
      <c r="Z405" s="153"/>
    </row>
    <row r="406" spans="26:26" s="72" customFormat="1">
      <c r="Z406" s="153"/>
    </row>
    <row r="407" spans="26:26" s="72" customFormat="1">
      <c r="Z407" s="153"/>
    </row>
    <row r="408" spans="26:26" s="72" customFormat="1">
      <c r="Z408" s="153"/>
    </row>
    <row r="409" spans="26:26" s="72" customFormat="1">
      <c r="Z409" s="153"/>
    </row>
    <row r="410" spans="26:26" s="72" customFormat="1">
      <c r="Z410" s="153"/>
    </row>
    <row r="411" spans="26:26" s="72" customFormat="1">
      <c r="Z411" s="153"/>
    </row>
    <row r="412" spans="26:26" s="72" customFormat="1">
      <c r="Z412" s="153"/>
    </row>
    <row r="413" spans="26:26" s="72" customFormat="1">
      <c r="Z413" s="153"/>
    </row>
    <row r="414" spans="26:26" s="72" customFormat="1">
      <c r="Z414" s="153"/>
    </row>
    <row r="415" spans="26:26" s="72" customFormat="1">
      <c r="Z415" s="153"/>
    </row>
    <row r="416" spans="26:26" s="72" customFormat="1">
      <c r="Z416" s="153"/>
    </row>
    <row r="417" spans="26:26" s="72" customFormat="1">
      <c r="Z417" s="153"/>
    </row>
    <row r="418" spans="26:26" s="72" customFormat="1">
      <c r="Z418" s="153"/>
    </row>
    <row r="419" spans="26:26" s="72" customFormat="1">
      <c r="Z419" s="153"/>
    </row>
    <row r="420" spans="26:26" s="72" customFormat="1">
      <c r="Z420" s="153"/>
    </row>
    <row r="421" spans="26:26" s="72" customFormat="1">
      <c r="Z421" s="153"/>
    </row>
    <row r="422" spans="26:26" s="72" customFormat="1">
      <c r="Z422" s="153"/>
    </row>
    <row r="423" spans="26:26" s="72" customFormat="1">
      <c r="Z423" s="153"/>
    </row>
    <row r="424" spans="26:26" s="72" customFormat="1">
      <c r="Z424" s="153"/>
    </row>
    <row r="425" spans="26:26" s="72" customFormat="1">
      <c r="Z425" s="153"/>
    </row>
    <row r="426" spans="26:26" s="72" customFormat="1">
      <c r="Z426" s="153"/>
    </row>
    <row r="427" spans="26:26" s="72" customFormat="1">
      <c r="Z427" s="153"/>
    </row>
    <row r="428" spans="26:26" s="72" customFormat="1">
      <c r="Z428" s="153"/>
    </row>
    <row r="429" spans="26:26" s="72" customFormat="1">
      <c r="Z429" s="153"/>
    </row>
    <row r="430" spans="26:26" s="72" customFormat="1">
      <c r="Z430" s="153"/>
    </row>
    <row r="431" spans="26:26" s="72" customFormat="1">
      <c r="Z431" s="153"/>
    </row>
    <row r="432" spans="26:26" s="72" customFormat="1">
      <c r="Z432" s="153"/>
    </row>
  </sheetData>
  <mergeCells count="2">
    <mergeCell ref="AE48:AF55"/>
    <mergeCell ref="AE66:AF73"/>
  </mergeCells>
  <conditionalFormatting sqref="C212:N218 C219:D219 F219:N219 C220:N224">
    <cfRule type="expression" dxfId="68" priority="6">
      <formula>$Z$190="no"</formula>
    </cfRule>
  </conditionalFormatting>
  <conditionalFormatting sqref="E53">
    <cfRule type="expression" dxfId="67" priority="101">
      <formula>$U$50=9</formula>
    </cfRule>
  </conditionalFormatting>
  <conditionalFormatting sqref="E54:E55">
    <cfRule type="expression" dxfId="66" priority="102">
      <formula>$U$50=9</formula>
    </cfRule>
  </conditionalFormatting>
  <conditionalFormatting sqref="E75">
    <cfRule type="expression" dxfId="65" priority="119">
      <formula>$X$68=9</formula>
    </cfRule>
  </conditionalFormatting>
  <conditionalFormatting sqref="E76:E77">
    <cfRule type="expression" dxfId="64" priority="120">
      <formula>$X$68=9</formula>
    </cfRule>
  </conditionalFormatting>
  <conditionalFormatting sqref="E82">
    <cfRule type="expression" dxfId="63" priority="123">
      <formula>$X$69=9</formula>
    </cfRule>
  </conditionalFormatting>
  <conditionalFormatting sqref="E83:E84">
    <cfRule type="expression" dxfId="62" priority="124">
      <formula>$X$69=9</formula>
    </cfRule>
  </conditionalFormatting>
  <conditionalFormatting sqref="G46">
    <cfRule type="expression" dxfId="61" priority="43">
      <formula>$U$50=1</formula>
    </cfRule>
    <cfRule type="expression" dxfId="60" priority="45">
      <formula>$U$50=9</formula>
    </cfRule>
  </conditionalFormatting>
  <conditionalFormatting sqref="G62">
    <cfRule type="expression" dxfId="59" priority="40">
      <formula>$U$50=1</formula>
    </cfRule>
    <cfRule type="expression" dxfId="58" priority="41">
      <formula>$U$50=9</formula>
    </cfRule>
  </conditionalFormatting>
  <conditionalFormatting sqref="G113">
    <cfRule type="expression" dxfId="57" priority="20">
      <formula>$D$105="no"</formula>
    </cfRule>
  </conditionalFormatting>
  <conditionalFormatting sqref="G114">
    <cfRule type="expression" dxfId="56" priority="19">
      <formula>$D$106="no"</formula>
    </cfRule>
  </conditionalFormatting>
  <conditionalFormatting sqref="H22">
    <cfRule type="expression" dxfId="55" priority="115">
      <formula>$F$30&lt;&gt;0</formula>
    </cfRule>
  </conditionalFormatting>
  <conditionalFormatting sqref="H36">
    <cfRule type="expression" dxfId="54" priority="98">
      <formula>$U$38=9</formula>
    </cfRule>
    <cfRule type="expression" dxfId="53" priority="49">
      <formula>$V$38=7</formula>
    </cfRule>
  </conditionalFormatting>
  <conditionalFormatting sqref="H46">
    <cfRule type="expression" dxfId="52" priority="42">
      <formula>$U$50=1</formula>
    </cfRule>
  </conditionalFormatting>
  <conditionalFormatting sqref="H50 K50 M50:N50">
    <cfRule type="expression" dxfId="51" priority="36">
      <formula>$G$46="Yes"</formula>
    </cfRule>
  </conditionalFormatting>
  <conditionalFormatting sqref="H62">
    <cfRule type="expression" dxfId="50" priority="23">
      <formula>$U$50=1</formula>
    </cfRule>
  </conditionalFormatting>
  <conditionalFormatting sqref="H66 K66 M66:N66">
    <cfRule type="expression" dxfId="49" priority="29">
      <formula>$G$62="Yes"</formula>
    </cfRule>
  </conditionalFormatting>
  <conditionalFormatting sqref="H46:I46">
    <cfRule type="expression" dxfId="48" priority="44">
      <formula>$U$50=9</formula>
    </cfRule>
  </conditionalFormatting>
  <conditionalFormatting sqref="H62:I62">
    <cfRule type="expression" dxfId="47" priority="24">
      <formula>$U$50=9</formula>
    </cfRule>
  </conditionalFormatting>
  <conditionalFormatting sqref="I26:I29">
    <cfRule type="expression" dxfId="46" priority="46">
      <formula>$F$30&lt;&gt;0</formula>
    </cfRule>
    <cfRule type="expression" dxfId="45" priority="77">
      <formula>$W$26=9</formula>
    </cfRule>
  </conditionalFormatting>
  <conditionalFormatting sqref="I36">
    <cfRule type="expression" dxfId="44" priority="50">
      <formula>$U$38=1</formula>
    </cfRule>
    <cfRule type="expression" dxfId="43" priority="48">
      <formula>$V$38=7</formula>
    </cfRule>
  </conditionalFormatting>
  <conditionalFormatting sqref="I52:I55">
    <cfRule type="expression" dxfId="42" priority="100">
      <formula>$U$50=9</formula>
    </cfRule>
  </conditionalFormatting>
  <conditionalFormatting sqref="I53:I55">
    <cfRule type="expression" dxfId="41" priority="58">
      <formula>$AA$55=6</formula>
    </cfRule>
  </conditionalFormatting>
  <conditionalFormatting sqref="I69:I70">
    <cfRule type="expression" dxfId="40" priority="57">
      <formula>$AA$69=6</formula>
    </cfRule>
  </conditionalFormatting>
  <conditionalFormatting sqref="I74:I77">
    <cfRule type="expression" dxfId="39" priority="121">
      <formula>$X$68=9</formula>
    </cfRule>
  </conditionalFormatting>
  <conditionalFormatting sqref="I75:I77">
    <cfRule type="expression" dxfId="38" priority="118">
      <formula>$AB$77=6</formula>
    </cfRule>
  </conditionalFormatting>
  <conditionalFormatting sqref="I81">
    <cfRule type="expression" dxfId="37" priority="125">
      <formula>$X$69=9</formula>
    </cfRule>
  </conditionalFormatting>
  <conditionalFormatting sqref="I82:I84">
    <cfRule type="expression" dxfId="36" priority="135">
      <formula>$X$69=9</formula>
    </cfRule>
    <cfRule type="expression" dxfId="35" priority="134">
      <formula>$AB$85=6</formula>
    </cfRule>
  </conditionalFormatting>
  <conditionalFormatting sqref="I113">
    <cfRule type="expression" dxfId="34" priority="14">
      <formula>$D$113="yes"</formula>
    </cfRule>
    <cfRule type="expression" dxfId="33" priority="13">
      <formula>$D$113="no"</formula>
    </cfRule>
  </conditionalFormatting>
  <conditionalFormatting sqref="I114">
    <cfRule type="expression" dxfId="32" priority="11">
      <formula>$D$114="No"</formula>
    </cfRule>
    <cfRule type="expression" dxfId="31" priority="12">
      <formula>$D$114="yes"</formula>
    </cfRule>
  </conditionalFormatting>
  <conditionalFormatting sqref="I322:J322">
    <cfRule type="cellIs" dxfId="30" priority="1" operator="lessThan">
      <formula>-0.0001</formula>
    </cfRule>
  </conditionalFormatting>
  <conditionalFormatting sqref="J52">
    <cfRule type="cellIs" dxfId="29" priority="75" operator="equal">
      <formula>1</formula>
    </cfRule>
  </conditionalFormatting>
  <conditionalFormatting sqref="J52:J55">
    <cfRule type="expression" dxfId="28" priority="99">
      <formula>$U$50=1</formula>
    </cfRule>
  </conditionalFormatting>
  <conditionalFormatting sqref="J53">
    <cfRule type="cellIs" dxfId="27" priority="76" operator="equal">
      <formula>100</formula>
    </cfRule>
  </conditionalFormatting>
  <conditionalFormatting sqref="J74">
    <cfRule type="cellIs" dxfId="26" priority="67" operator="equal">
      <formula>1</formula>
    </cfRule>
  </conditionalFormatting>
  <conditionalFormatting sqref="J74:J77">
    <cfRule type="expression" dxfId="25" priority="122">
      <formula>$X$68=1</formula>
    </cfRule>
  </conditionalFormatting>
  <conditionalFormatting sqref="J75">
    <cfRule type="cellIs" dxfId="24" priority="68" operator="equal">
      <formula>100</formula>
    </cfRule>
  </conditionalFormatting>
  <conditionalFormatting sqref="J81">
    <cfRule type="expression" dxfId="23" priority="126">
      <formula>$X$69=9</formula>
    </cfRule>
  </conditionalFormatting>
  <conditionalFormatting sqref="J81:J84">
    <cfRule type="expression" dxfId="22" priority="127">
      <formula>$X$69=1</formula>
    </cfRule>
  </conditionalFormatting>
  <conditionalFormatting sqref="J82">
    <cfRule type="cellIs" dxfId="21" priority="62" operator="equal">
      <formula>100</formula>
    </cfRule>
  </conditionalFormatting>
  <conditionalFormatting sqref="J290:J291">
    <cfRule type="expression" dxfId="20" priority="4">
      <formula>$U$50=9</formula>
    </cfRule>
  </conditionalFormatting>
  <conditionalFormatting sqref="J54:N55">
    <cfRule type="expression" dxfId="19" priority="35">
      <formula>$U$50=9</formula>
    </cfRule>
  </conditionalFormatting>
  <conditionalFormatting sqref="J76:N77 J83:N84">
    <cfRule type="expression" dxfId="18" priority="128">
      <formula>$X$69=9</formula>
    </cfRule>
  </conditionalFormatting>
  <conditionalFormatting sqref="K53 M53:N53">
    <cfRule type="expression" dxfId="17" priority="33">
      <formula>$U$50=9</formula>
    </cfRule>
  </conditionalFormatting>
  <conditionalFormatting sqref="K75 M75:N75 K82 M82:N82">
    <cfRule type="expression" dxfId="16" priority="130">
      <formula>$X$69=9</formula>
    </cfRule>
  </conditionalFormatting>
  <conditionalFormatting sqref="M105">
    <cfRule type="expression" dxfId="15" priority="18">
      <formula>$D$105="yes"</formula>
    </cfRule>
    <cfRule type="expression" dxfId="14" priority="17">
      <formula>$D$105="No"</formula>
    </cfRule>
  </conditionalFormatting>
  <conditionalFormatting sqref="M107">
    <cfRule type="expression" dxfId="13" priority="16">
      <formula>$D$107="yes"</formula>
    </cfRule>
    <cfRule type="expression" dxfId="12" priority="15">
      <formula>$D$107="no"</formula>
    </cfRule>
  </conditionalFormatting>
  <conditionalFormatting sqref="M279">
    <cfRule type="cellIs" dxfId="11" priority="7" operator="lessThan">
      <formula>0</formula>
    </cfRule>
  </conditionalFormatting>
  <conditionalFormatting sqref="M87:N87">
    <cfRule type="expression" dxfId="10" priority="30">
      <formula>$G$62="No"</formula>
    </cfRule>
  </conditionalFormatting>
  <conditionalFormatting sqref="N50">
    <cfRule type="expression" dxfId="9" priority="38">
      <formula>$G$46="No"</formula>
    </cfRule>
    <cfRule type="expression" priority="39">
      <formula>$G$46="No"</formula>
    </cfRule>
  </conditionalFormatting>
  <conditionalFormatting sqref="N56">
    <cfRule type="expression" dxfId="8" priority="37">
      <formula>$G$46="Yes"</formula>
    </cfRule>
    <cfRule type="expression" dxfId="7" priority="32">
      <formula>$G$46="No"</formula>
    </cfRule>
    <cfRule type="expression" dxfId="6" priority="34">
      <formula>$U$50=9</formula>
    </cfRule>
  </conditionalFormatting>
  <conditionalFormatting sqref="N66">
    <cfRule type="expression" dxfId="5" priority="31">
      <formula>$G$62="No"</formula>
    </cfRule>
  </conditionalFormatting>
  <conditionalFormatting sqref="N87">
    <cfRule type="expression" dxfId="4" priority="28">
      <formula>$G$62="Yes"</formula>
    </cfRule>
  </conditionalFormatting>
  <conditionalFormatting sqref="N142 N170 N185 N209 N244 N250 N284 N298 N322">
    <cfRule type="cellIs" dxfId="3" priority="8" operator="lessThan">
      <formula>-0.0001</formula>
    </cfRule>
  </conditionalFormatting>
  <conditionalFormatting sqref="N209">
    <cfRule type="expression" dxfId="2" priority="10">
      <formula>$N$209&lt;0</formula>
    </cfRule>
  </conditionalFormatting>
  <conditionalFormatting sqref="N233">
    <cfRule type="cellIs" dxfId="1" priority="2" operator="lessThan">
      <formula>-0.0001</formula>
    </cfRule>
    <cfRule type="expression" dxfId="0" priority="3">
      <formula>$N$209&lt;0</formula>
    </cfRule>
  </conditionalFormatting>
  <dataValidations count="5">
    <dataValidation type="list" allowBlank="1" showInputMessage="1" showErrorMessage="1" sqref="H18" xr:uid="{EE5A33B8-9AFB-4895-B385-9BF291CBD273}">
      <formula1>$Z$22:$Z$27</formula1>
    </dataValidation>
    <dataValidation type="list" allowBlank="1" showInputMessage="1" showErrorMessage="1" promptTitle="Please select" sqref="H38" xr:uid="{91441A30-C398-4ECA-8870-7DA767FE4B96}">
      <formula1>$Z$34:$Z$36</formula1>
    </dataValidation>
    <dataValidation type="list" allowBlank="1" showInputMessage="1" showErrorMessage="1" sqref="H46" xr:uid="{0A73A5B7-3FCF-414C-853F-358EB8515B34}">
      <formula1>$Z$47:$Z$48</formula1>
    </dataValidation>
    <dataValidation type="list" allowBlank="1" showInputMessage="1" showErrorMessage="1" sqref="H62" xr:uid="{9E69CA8C-3E4E-436E-8A7B-FC0222C3E7FA}">
      <formula1>$Z$62:$Z$63</formula1>
    </dataValidation>
    <dataValidation type="list" allowBlank="1" showInputMessage="1" showErrorMessage="1" sqref="I290" xr:uid="{F52DEAF9-A92F-48FD-963B-8F0CCA04D552}">
      <formula1>$Z$289:$Z$290</formula1>
    </dataValidation>
  </dataValidations>
  <hyperlinks>
    <hyperlink ref="M5" r:id="rId1" display="Book a free session here 👇" xr:uid="{79F755B6-6DFB-2B41-B8F8-1117E095979D}"/>
  </hyperlinks>
  <pageMargins left="0.7" right="0.7" top="0.75" bottom="0.75" header="0.3" footer="0.3"/>
  <pageSetup paperSize="9" scale="10" fitToHeight="0" orientation="portrait" horizontalDpi="300"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1044" r:id="rId5" name="Option Button 20">
              <controlPr defaultSize="0" autoFill="0" autoLine="0" autoPict="0" altText="Traditional_x000a_">
                <anchor moveWithCells="1">
                  <from>
                    <xdr:col>6</xdr:col>
                    <xdr:colOff>342900</xdr:colOff>
                    <xdr:row>118</xdr:row>
                    <xdr:rowOff>38100</xdr:rowOff>
                  </from>
                  <to>
                    <xdr:col>7</xdr:col>
                    <xdr:colOff>450850</xdr:colOff>
                    <xdr:row>119</xdr:row>
                    <xdr:rowOff>0</xdr:rowOff>
                  </to>
                </anchor>
              </controlPr>
            </control>
          </mc:Choice>
        </mc:AlternateContent>
        <mc:AlternateContent xmlns:mc="http://schemas.openxmlformats.org/markup-compatibility/2006">
          <mc:Choice Requires="x14">
            <control shapeId="1045" r:id="rId6" name="Option Button 21">
              <controlPr defaultSize="0" autoFill="0" autoLine="0" autoPict="0" altText="Traditional_x000a_">
                <anchor moveWithCells="1">
                  <from>
                    <xdr:col>6</xdr:col>
                    <xdr:colOff>342900</xdr:colOff>
                    <xdr:row>119</xdr:row>
                    <xdr:rowOff>44450</xdr:rowOff>
                  </from>
                  <to>
                    <xdr:col>7</xdr:col>
                    <xdr:colOff>450850</xdr:colOff>
                    <xdr:row>120</xdr:row>
                    <xdr:rowOff>6350</xdr:rowOff>
                  </to>
                </anchor>
              </controlPr>
            </control>
          </mc:Choice>
        </mc:AlternateContent>
        <mc:AlternateContent xmlns:mc="http://schemas.openxmlformats.org/markup-compatibility/2006">
          <mc:Choice Requires="x14">
            <control shapeId="1046" r:id="rId7" name="Option Button 22">
              <controlPr defaultSize="0" autoFill="0" autoLine="0" autoPict="0" altText="Traditional_x000a_">
                <anchor moveWithCells="1">
                  <from>
                    <xdr:col>6</xdr:col>
                    <xdr:colOff>342900</xdr:colOff>
                    <xdr:row>120</xdr:row>
                    <xdr:rowOff>50800</xdr:rowOff>
                  </from>
                  <to>
                    <xdr:col>7</xdr:col>
                    <xdr:colOff>450850</xdr:colOff>
                    <xdr:row>121</xdr:row>
                    <xdr:rowOff>12700</xdr:rowOff>
                  </to>
                </anchor>
              </controlPr>
            </control>
          </mc:Choice>
        </mc:AlternateContent>
      </controls>
    </mc:Choice>
  </mc:AlternateContent>
  <tableParts count="1">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8530D-D7F7-4D5A-9EEE-0F13019AC973}">
  <sheetPr codeName="Ark3">
    <tabColor rgb="FF00B050"/>
  </sheetPr>
  <dimension ref="A1:O100"/>
  <sheetViews>
    <sheetView topLeftCell="A41" zoomScaleNormal="100" workbookViewId="0"/>
  </sheetViews>
  <sheetFormatPr defaultColWidth="8.81640625" defaultRowHeight="12.5"/>
  <cols>
    <col min="6" max="6" width="13.36328125" bestFit="1" customWidth="1"/>
    <col min="7" max="7" width="1.81640625" customWidth="1"/>
    <col min="8" max="8" width="9.1796875" bestFit="1" customWidth="1"/>
    <col min="9" max="9" width="1.81640625" customWidth="1"/>
    <col min="10" max="10" width="12.36328125" customWidth="1"/>
    <col min="11" max="11" width="9.1796875" style="2" bestFit="1" customWidth="1"/>
    <col min="12" max="12" width="10.1796875" bestFit="1" customWidth="1"/>
    <col min="14" max="14" width="9.81640625" customWidth="1"/>
  </cols>
  <sheetData>
    <row r="1" spans="2:15" ht="20">
      <c r="B1" s="38" t="s">
        <v>115</v>
      </c>
      <c r="C1" s="39"/>
      <c r="D1" s="39"/>
      <c r="E1" s="39"/>
      <c r="F1" s="39"/>
      <c r="G1" s="39"/>
      <c r="H1" s="39"/>
      <c r="I1" s="39"/>
      <c r="J1" s="39"/>
      <c r="K1" s="40"/>
      <c r="L1" s="39"/>
      <c r="M1" s="39"/>
      <c r="N1" s="39"/>
      <c r="O1" s="39"/>
    </row>
    <row r="2" spans="2:15">
      <c r="B2" s="31"/>
    </row>
    <row r="3" spans="2:15" ht="17.5">
      <c r="B3" s="69" t="s">
        <v>211</v>
      </c>
    </row>
    <row r="5" spans="2:15">
      <c r="B5" s="20" t="s">
        <v>34</v>
      </c>
      <c r="C5" s="21"/>
      <c r="D5" s="21"/>
      <c r="E5" s="21"/>
      <c r="F5" s="21"/>
      <c r="G5" s="21"/>
      <c r="H5" s="21"/>
      <c r="I5" s="21"/>
      <c r="J5" s="21"/>
      <c r="K5" s="32"/>
      <c r="L5" s="21"/>
      <c r="M5" s="21"/>
      <c r="N5" s="21"/>
      <c r="O5" s="21"/>
    </row>
    <row r="6" spans="2:15">
      <c r="J6" s="11" t="s">
        <v>49</v>
      </c>
    </row>
    <row r="7" spans="2:15" ht="13">
      <c r="F7" s="22" t="str">
        <f>+'Data Entry'!$H$18</f>
        <v>EUR</v>
      </c>
      <c r="H7" s="23" t="s">
        <v>14</v>
      </c>
      <c r="J7" s="22" t="str">
        <f>+'Data Entry'!$H$18</f>
        <v>EUR</v>
      </c>
      <c r="K7" s="33" t="s">
        <v>14</v>
      </c>
    </row>
    <row r="8" spans="2:15">
      <c r="D8" s="11" t="s">
        <v>4</v>
      </c>
      <c r="E8" s="11"/>
      <c r="F8" s="2">
        <f>+'Data Entry'!H26</f>
        <v>0</v>
      </c>
      <c r="H8" s="2">
        <f>+'Data Entry'!W57</f>
        <v>0</v>
      </c>
    </row>
    <row r="9" spans="2:15">
      <c r="D9" s="11" t="s">
        <v>35</v>
      </c>
      <c r="E9" s="11"/>
      <c r="F9" s="2">
        <f>+'Data Entry'!H27</f>
        <v>0</v>
      </c>
      <c r="H9" s="2">
        <f>+'Data Entry'!W85</f>
        <v>0</v>
      </c>
      <c r="J9" s="2">
        <f>+'Data Entry'!H69</f>
        <v>0</v>
      </c>
      <c r="K9" s="2">
        <f>+'Data Entry'!N69</f>
        <v>0</v>
      </c>
    </row>
    <row r="10" spans="2:15">
      <c r="D10" s="11" t="s">
        <v>36</v>
      </c>
      <c r="E10" s="11"/>
      <c r="F10" s="2">
        <f>+'Data Entry'!H28</f>
        <v>0</v>
      </c>
      <c r="H10" s="2">
        <f>+'Data Entry'!N28</f>
        <v>0</v>
      </c>
    </row>
    <row r="11" spans="2:15">
      <c r="D11" s="27" t="s">
        <v>37</v>
      </c>
      <c r="E11" s="27"/>
      <c r="F11" s="29">
        <f>+'Data Entry'!H29</f>
        <v>0</v>
      </c>
      <c r="G11" s="28"/>
      <c r="H11" s="29">
        <f>+'Data Entry'!N29</f>
        <v>0</v>
      </c>
      <c r="I11" s="28"/>
      <c r="J11" s="28"/>
      <c r="K11" s="29"/>
    </row>
    <row r="12" spans="2:15">
      <c r="D12" s="11" t="s">
        <v>27</v>
      </c>
      <c r="E12" s="11"/>
      <c r="F12" s="2">
        <f>SUM(F8:F11)</f>
        <v>0</v>
      </c>
      <c r="H12" s="2">
        <f>SUM(H8:H11)</f>
        <v>0</v>
      </c>
    </row>
    <row r="14" spans="2:15">
      <c r="B14" s="20" t="s">
        <v>39</v>
      </c>
      <c r="C14" s="21"/>
      <c r="D14" s="21"/>
      <c r="E14" s="21"/>
      <c r="F14" s="21"/>
      <c r="G14" s="21"/>
      <c r="H14" s="21"/>
      <c r="I14" s="21"/>
      <c r="J14" s="21"/>
      <c r="K14" s="32"/>
      <c r="L14" s="21"/>
      <c r="M14" s="21"/>
      <c r="N14" s="21"/>
      <c r="O14" s="21"/>
    </row>
    <row r="15" spans="2:15" ht="13">
      <c r="F15" s="23" t="s">
        <v>40</v>
      </c>
      <c r="G15" s="23"/>
      <c r="H15" s="23" t="s">
        <v>42</v>
      </c>
      <c r="I15" s="23"/>
      <c r="J15" s="23" t="s">
        <v>48</v>
      </c>
      <c r="K15" s="33"/>
    </row>
    <row r="16" spans="2:15" ht="13">
      <c r="F16" s="23" t="s">
        <v>41</v>
      </c>
      <c r="G16" s="23"/>
      <c r="H16" s="23" t="s">
        <v>43</v>
      </c>
      <c r="I16" s="23"/>
      <c r="J16" s="23" t="s">
        <v>47</v>
      </c>
      <c r="K16" s="34" t="s">
        <v>27</v>
      </c>
    </row>
    <row r="17" spans="2:15">
      <c r="D17" s="11" t="s">
        <v>4</v>
      </c>
      <c r="E17" s="11"/>
      <c r="F17" s="2">
        <f>+'Data Entry'!N55</f>
        <v>0</v>
      </c>
      <c r="G17" s="2"/>
      <c r="H17" s="2">
        <f>+'Data Entry'!N54</f>
        <v>0</v>
      </c>
      <c r="I17" s="2"/>
      <c r="J17" s="2">
        <f>+'Data Entry'!N53</f>
        <v>0</v>
      </c>
      <c r="K17" s="2">
        <f>SUM(F17:J17)</f>
        <v>0</v>
      </c>
      <c r="L17" s="51" t="s">
        <v>14</v>
      </c>
    </row>
    <row r="18" spans="2:15">
      <c r="D18" s="11" t="s">
        <v>45</v>
      </c>
      <c r="E18" s="11"/>
      <c r="F18" s="2">
        <f>+'Data Entry'!N77</f>
        <v>0</v>
      </c>
      <c r="G18" s="2"/>
      <c r="H18" s="2">
        <f>+'Data Entry'!N76</f>
        <v>0</v>
      </c>
      <c r="I18" s="2"/>
      <c r="J18" s="2">
        <f>+'Data Entry'!N75</f>
        <v>0</v>
      </c>
      <c r="K18" s="2">
        <f>SUM(F18:J18)</f>
        <v>0</v>
      </c>
      <c r="L18" s="51" t="s">
        <v>14</v>
      </c>
    </row>
    <row r="19" spans="2:15">
      <c r="D19" s="27" t="s">
        <v>46</v>
      </c>
      <c r="E19" s="28"/>
      <c r="F19" s="29">
        <f>+'Data Entry'!N84</f>
        <v>0</v>
      </c>
      <c r="G19" s="29"/>
      <c r="H19" s="29">
        <f>+'Data Entry'!N83</f>
        <v>0</v>
      </c>
      <c r="I19" s="29"/>
      <c r="J19" s="29">
        <f>+'Data Entry'!N82</f>
        <v>0</v>
      </c>
      <c r="K19" s="29">
        <f>SUM(F19:J19)</f>
        <v>0</v>
      </c>
      <c r="L19" s="68" t="s">
        <v>14</v>
      </c>
    </row>
    <row r="20" spans="2:15">
      <c r="D20" s="11" t="s">
        <v>27</v>
      </c>
      <c r="F20" s="2">
        <f>SUM(F17:F19)</f>
        <v>0</v>
      </c>
      <c r="G20" s="2"/>
      <c r="H20" s="2">
        <f>SUM(H17:H19)</f>
        <v>0</v>
      </c>
      <c r="I20" s="2"/>
      <c r="J20" s="2">
        <f>SUM(J17:J19)</f>
        <v>0</v>
      </c>
      <c r="K20" s="2">
        <f>SUM(K17:K19)</f>
        <v>0</v>
      </c>
      <c r="L20" s="51" t="s">
        <v>14</v>
      </c>
    </row>
    <row r="22" spans="2:15">
      <c r="B22" s="20" t="s">
        <v>58</v>
      </c>
      <c r="C22" s="21"/>
      <c r="D22" s="21"/>
      <c r="E22" s="21"/>
      <c r="F22" s="21"/>
      <c r="G22" s="21"/>
      <c r="H22" s="21"/>
      <c r="I22" s="21"/>
      <c r="J22" s="21"/>
      <c r="K22" s="32"/>
      <c r="L22" s="32"/>
      <c r="M22" s="32"/>
      <c r="N22" s="32"/>
      <c r="O22" s="32"/>
    </row>
    <row r="23" spans="2:15">
      <c r="D23" s="11" t="s">
        <v>59</v>
      </c>
      <c r="H23" s="2">
        <f>+'Data Entry'!K119</f>
        <v>0</v>
      </c>
    </row>
    <row r="24" spans="2:15">
      <c r="D24" s="11" t="s">
        <v>60</v>
      </c>
      <c r="H24">
        <f>+'Data Entry'!K120</f>
        <v>0</v>
      </c>
    </row>
    <row r="26" spans="2:15">
      <c r="B26" s="20" t="s">
        <v>92</v>
      </c>
      <c r="C26" s="21"/>
      <c r="D26" s="21"/>
      <c r="E26" s="21"/>
      <c r="F26" s="21"/>
      <c r="G26" s="21"/>
      <c r="H26" s="21"/>
      <c r="I26" s="21"/>
      <c r="J26" s="21"/>
      <c r="K26" s="32"/>
      <c r="L26" s="20" t="s">
        <v>73</v>
      </c>
      <c r="M26" s="21"/>
      <c r="N26" s="21"/>
      <c r="O26" s="21"/>
    </row>
    <row r="27" spans="2:15" ht="13">
      <c r="H27" s="22" t="s">
        <v>68</v>
      </c>
      <c r="I27" s="23"/>
      <c r="J27" s="22" t="s">
        <v>70</v>
      </c>
      <c r="K27" s="33"/>
      <c r="L27" s="22" t="s">
        <v>68</v>
      </c>
      <c r="M27" s="23"/>
      <c r="N27" s="22" t="s">
        <v>70</v>
      </c>
    </row>
    <row r="28" spans="2:15">
      <c r="D28" t="str">
        <f>+'Data Entry'!C125</f>
        <v>Offline via TMC</v>
      </c>
      <c r="H28" s="2">
        <f>+'Data Entry'!K125</f>
        <v>0</v>
      </c>
      <c r="J28" s="2">
        <f>+'Data Entry'!N125</f>
        <v>0</v>
      </c>
      <c r="K28" s="65" t="str">
        <f>+'Data Entry'!$H$18</f>
        <v>EUR</v>
      </c>
      <c r="L28" s="2">
        <f>+'Data Entry'!K134</f>
        <v>0</v>
      </c>
      <c r="N28" s="2">
        <f>+'Data Entry'!N134</f>
        <v>0</v>
      </c>
      <c r="O28" s="65" t="str">
        <f>+'Data Entry'!$H$18</f>
        <v>EUR</v>
      </c>
    </row>
    <row r="29" spans="2:15">
      <c r="D29" t="str">
        <f>+'Data Entry'!C126</f>
        <v>TMC online - Traditional</v>
      </c>
      <c r="H29" s="2">
        <f>+'Data Entry'!K126</f>
        <v>0</v>
      </c>
      <c r="J29" s="2">
        <f>+'Data Entry'!N126</f>
        <v>0</v>
      </c>
      <c r="K29" s="65" t="str">
        <f>+'Data Entry'!$H$18</f>
        <v>EUR</v>
      </c>
      <c r="L29" s="2">
        <f>+'Data Entry'!K135</f>
        <v>0</v>
      </c>
      <c r="N29" s="2">
        <f>+'Data Entry'!N135</f>
        <v>0</v>
      </c>
      <c r="O29" s="65" t="str">
        <f>+'Data Entry'!$H$18</f>
        <v>EUR</v>
      </c>
    </row>
    <row r="30" spans="2:15">
      <c r="D30" t="str">
        <f>+'Data Entry'!C127</f>
        <v>TMC online - 3rd generation tool</v>
      </c>
      <c r="H30" s="2">
        <f>+'Data Entry'!K127</f>
        <v>0</v>
      </c>
      <c r="J30" s="2">
        <f>+'Data Entry'!N127</f>
        <v>0</v>
      </c>
      <c r="K30" s="65" t="str">
        <f>+'Data Entry'!$H$18</f>
        <v>EUR</v>
      </c>
      <c r="L30" s="2">
        <f>+'Data Entry'!K136</f>
        <v>0</v>
      </c>
      <c r="N30" s="2">
        <f>+'Data Entry'!N136</f>
        <v>0</v>
      </c>
      <c r="O30" s="65" t="str">
        <f>+'Data Entry'!$H$18</f>
        <v>EUR</v>
      </c>
    </row>
    <row r="31" spans="2:15">
      <c r="D31" t="str">
        <f>+'Data Entry'!C129</f>
        <v>Airline website</v>
      </c>
      <c r="H31" s="2">
        <f>+'Data Entry'!K129</f>
        <v>0</v>
      </c>
      <c r="J31" s="2">
        <f>+'Data Entry'!N129</f>
        <v>0</v>
      </c>
      <c r="K31" s="65" t="str">
        <f>+'Data Entry'!$H$18</f>
        <v>EUR</v>
      </c>
      <c r="L31" s="2">
        <f>+'Data Entry'!K138</f>
        <v>0</v>
      </c>
      <c r="N31" s="2">
        <f>+'Data Entry'!N138</f>
        <v>0</v>
      </c>
      <c r="O31" s="65" t="str">
        <f>+'Data Entry'!$H$18</f>
        <v>EUR</v>
      </c>
    </row>
    <row r="32" spans="2:15">
      <c r="D32" s="28" t="str">
        <f>+'Data Entry'!C130</f>
        <v>Hotel website</v>
      </c>
      <c r="E32" s="28"/>
      <c r="F32" s="28"/>
      <c r="G32" s="28"/>
      <c r="H32" s="29">
        <f>+'Data Entry'!K130</f>
        <v>0</v>
      </c>
      <c r="I32" s="28"/>
      <c r="J32" s="29">
        <f>+'Data Entry'!N130</f>
        <v>0</v>
      </c>
      <c r="K32" s="66" t="str">
        <f>+'Data Entry'!$H$18</f>
        <v>EUR</v>
      </c>
      <c r="L32" s="29">
        <f>+'Data Entry'!K139</f>
        <v>0</v>
      </c>
      <c r="M32" s="28"/>
      <c r="N32" s="29">
        <f>+'Data Entry'!N139</f>
        <v>0</v>
      </c>
      <c r="O32" s="66" t="str">
        <f>+'Data Entry'!$H$18</f>
        <v>EUR</v>
      </c>
    </row>
    <row r="33" spans="2:15">
      <c r="D33" t="str">
        <f>+'Data Entry'!C131</f>
        <v>Total</v>
      </c>
      <c r="H33" s="2">
        <f>+'Data Entry'!K131</f>
        <v>0</v>
      </c>
      <c r="J33" s="2">
        <f>+'Data Entry'!N131</f>
        <v>0</v>
      </c>
      <c r="K33" s="65" t="str">
        <f>+'Data Entry'!$H$18</f>
        <v>EUR</v>
      </c>
      <c r="L33" s="2">
        <f>+'Data Entry'!K140</f>
        <v>0</v>
      </c>
      <c r="N33" s="5">
        <f>SUM(N28:N32)</f>
        <v>0</v>
      </c>
      <c r="O33" s="65" t="str">
        <f>+'Data Entry'!$H$18</f>
        <v>EUR</v>
      </c>
    </row>
    <row r="36" spans="2:15">
      <c r="B36" s="21" t="s">
        <v>93</v>
      </c>
      <c r="C36" s="21"/>
      <c r="D36" s="21"/>
      <c r="E36" s="21"/>
      <c r="F36" s="21"/>
      <c r="G36" s="21"/>
      <c r="H36" s="21"/>
      <c r="I36" s="21"/>
      <c r="J36" s="21"/>
      <c r="K36" s="32"/>
      <c r="L36" s="21"/>
      <c r="M36" s="21"/>
      <c r="N36" s="21"/>
      <c r="O36" s="21"/>
    </row>
    <row r="38" spans="2:15">
      <c r="J38" s="1" t="s">
        <v>89</v>
      </c>
      <c r="K38" s="24"/>
      <c r="L38" s="1" t="s">
        <v>90</v>
      </c>
      <c r="N38" s="1" t="s">
        <v>91</v>
      </c>
    </row>
    <row r="39" spans="2:15">
      <c r="D39" s="11" t="s">
        <v>108</v>
      </c>
      <c r="J39" s="2">
        <f>+'Data Entry'!M165</f>
        <v>0</v>
      </c>
      <c r="K39" s="65" t="str">
        <f>+'Data Entry'!$H$18</f>
        <v>EUR</v>
      </c>
      <c r="L39" s="2">
        <f>+'Data Entry'!M166</f>
        <v>0</v>
      </c>
      <c r="M39" s="65" t="str">
        <f>+'Data Entry'!$H$18</f>
        <v>EUR</v>
      </c>
      <c r="N39" s="4">
        <f>SUM(J39-L39)</f>
        <v>0</v>
      </c>
      <c r="O39" s="65" t="str">
        <f>+'Data Entry'!$H$18</f>
        <v>EUR</v>
      </c>
    </row>
    <row r="40" spans="2:15">
      <c r="D40" s="9" t="s">
        <v>109</v>
      </c>
      <c r="O40" s="65"/>
    </row>
    <row r="41" spans="2:15">
      <c r="J41" s="1" t="s">
        <v>89</v>
      </c>
      <c r="K41" s="24"/>
      <c r="L41" s="1" t="s">
        <v>90</v>
      </c>
      <c r="N41" s="1" t="s">
        <v>91</v>
      </c>
      <c r="O41" s="65"/>
    </row>
    <row r="42" spans="2:15">
      <c r="D42" s="11" t="s">
        <v>110</v>
      </c>
      <c r="J42" s="2">
        <f>+'Data Entry'!N177</f>
        <v>0</v>
      </c>
      <c r="K42" s="65" t="str">
        <f>+'Data Entry'!$H$18</f>
        <v>EUR</v>
      </c>
      <c r="L42" s="2">
        <f>+'Data Entry'!N182</f>
        <v>0</v>
      </c>
      <c r="M42" s="65" t="str">
        <f>+'Data Entry'!$H$18</f>
        <v>EUR</v>
      </c>
      <c r="N42" s="4">
        <f>SUM(J42-L42)</f>
        <v>0</v>
      </c>
      <c r="O42" s="65" t="str">
        <f>+'Data Entry'!$H$18</f>
        <v>EUR</v>
      </c>
    </row>
    <row r="43" spans="2:15">
      <c r="O43" s="65"/>
    </row>
    <row r="44" spans="2:15">
      <c r="J44" s="1" t="s">
        <v>89</v>
      </c>
      <c r="K44" s="24"/>
      <c r="L44" s="1" t="s">
        <v>90</v>
      </c>
      <c r="N44" s="1" t="s">
        <v>91</v>
      </c>
      <c r="O44" s="65"/>
    </row>
    <row r="45" spans="2:15">
      <c r="D45" t="s">
        <v>111</v>
      </c>
      <c r="J45" s="2">
        <f>+'Data Entry'!W204</f>
        <v>0</v>
      </c>
      <c r="L45" s="2">
        <f>+'Data Entry'!W205</f>
        <v>0</v>
      </c>
      <c r="N45" s="4">
        <f>SUM(J45-L45)</f>
        <v>0</v>
      </c>
      <c r="O45" s="65" t="str">
        <f>+'Data Entry'!$H$18</f>
        <v>EUR</v>
      </c>
    </row>
    <row r="46" spans="2:15">
      <c r="O46" s="65"/>
    </row>
    <row r="47" spans="2:15">
      <c r="J47" s="1" t="s">
        <v>89</v>
      </c>
      <c r="K47" s="24"/>
      <c r="L47" s="1" t="s">
        <v>90</v>
      </c>
      <c r="N47" s="1" t="s">
        <v>91</v>
      </c>
      <c r="O47" s="65"/>
    </row>
    <row r="48" spans="2:15">
      <c r="C48" s="28"/>
      <c r="D48" s="28" t="s">
        <v>112</v>
      </c>
      <c r="E48" s="28"/>
      <c r="F48" s="28"/>
      <c r="G48" s="28"/>
      <c r="H48" s="28"/>
      <c r="I48" s="28"/>
      <c r="J48" s="29">
        <f>+'Data Entry'!W226</f>
        <v>0</v>
      </c>
      <c r="K48" s="29"/>
      <c r="L48" s="29">
        <f>+'Data Entry'!W227</f>
        <v>0</v>
      </c>
      <c r="M48" s="28"/>
      <c r="N48" s="42">
        <f>SUM(J48-L48)</f>
        <v>0</v>
      </c>
      <c r="O48" s="65" t="str">
        <f>+'Data Entry'!$H$18</f>
        <v>EUR</v>
      </c>
    </row>
    <row r="49" spans="2:15">
      <c r="O49" s="65"/>
    </row>
    <row r="50" spans="2:15">
      <c r="D50" s="11" t="s">
        <v>122</v>
      </c>
      <c r="N50" s="4">
        <f>+N39+N42+N45+N48</f>
        <v>0</v>
      </c>
      <c r="O50" s="65" t="str">
        <f>+'Data Entry'!$H$18</f>
        <v>EUR</v>
      </c>
    </row>
    <row r="54" spans="2:15">
      <c r="B54" s="20" t="s">
        <v>104</v>
      </c>
      <c r="C54" s="21"/>
      <c r="D54" s="21"/>
      <c r="E54" s="21"/>
      <c r="F54" s="21"/>
      <c r="G54" s="21"/>
      <c r="H54" s="21"/>
      <c r="I54" s="21"/>
      <c r="J54" s="21"/>
      <c r="K54" s="32"/>
      <c r="L54" s="21"/>
      <c r="M54" s="21"/>
      <c r="N54" s="21"/>
      <c r="O54" s="21"/>
    </row>
    <row r="56" spans="2:15">
      <c r="J56" s="12" t="s">
        <v>106</v>
      </c>
      <c r="K56" s="24"/>
      <c r="L56" s="12" t="s">
        <v>107</v>
      </c>
      <c r="M56" s="1"/>
      <c r="N56" s="12" t="s">
        <v>91</v>
      </c>
    </row>
    <row r="57" spans="2:15">
      <c r="D57" s="11" t="s">
        <v>105</v>
      </c>
      <c r="J57" s="3">
        <f>+'Business Value Summary - ext.'!F8</f>
        <v>0</v>
      </c>
      <c r="K57" s="65" t="str">
        <f>+'Data Entry'!$H$18</f>
        <v>EUR</v>
      </c>
      <c r="L57" s="3">
        <f>SUM(J57-N57)</f>
        <v>0</v>
      </c>
      <c r="M57" s="65" t="str">
        <f>+'Data Entry'!$H$18</f>
        <v>EUR</v>
      </c>
      <c r="N57" s="5">
        <f>+'Data Entry'!N244</f>
        <v>0</v>
      </c>
      <c r="O57" s="65" t="str">
        <f>+'Data Entry'!$H$18</f>
        <v>EUR</v>
      </c>
    </row>
    <row r="59" spans="2:15">
      <c r="J59" s="12" t="s">
        <v>106</v>
      </c>
      <c r="K59" s="24"/>
      <c r="L59" s="12" t="s">
        <v>107</v>
      </c>
      <c r="M59" s="1"/>
      <c r="N59" s="12" t="s">
        <v>91</v>
      </c>
    </row>
    <row r="60" spans="2:15">
      <c r="D60" t="s">
        <v>113</v>
      </c>
      <c r="J60" s="3">
        <f>+'Data Entry'!H249</f>
        <v>0</v>
      </c>
      <c r="K60" s="65" t="str">
        <f>+'Data Entry'!$H$18</f>
        <v>EUR</v>
      </c>
      <c r="L60" s="3">
        <f>SUM(J60-N60)</f>
        <v>0</v>
      </c>
      <c r="M60" s="65" t="str">
        <f>+'Data Entry'!$H$18</f>
        <v>EUR</v>
      </c>
      <c r="N60" s="5">
        <f>+'Data Entry'!N250</f>
        <v>0</v>
      </c>
      <c r="O60" s="65" t="str">
        <f>+'Data Entry'!$H$18</f>
        <v>EUR</v>
      </c>
    </row>
    <row r="61" spans="2:15">
      <c r="M61" s="65"/>
    </row>
    <row r="63" spans="2:15">
      <c r="B63" s="20" t="s">
        <v>114</v>
      </c>
      <c r="C63" s="21"/>
      <c r="D63" s="21"/>
      <c r="E63" s="21"/>
      <c r="F63" s="21"/>
      <c r="G63" s="21"/>
      <c r="H63" s="21"/>
      <c r="I63" s="21"/>
      <c r="J63" s="21"/>
      <c r="K63" s="32"/>
      <c r="L63" s="21"/>
      <c r="M63" s="21"/>
      <c r="N63" s="21"/>
      <c r="O63" s="21"/>
    </row>
    <row r="65" spans="2:15">
      <c r="B65" t="s">
        <v>123</v>
      </c>
      <c r="K65"/>
    </row>
    <row r="66" spans="2:15">
      <c r="B66" t="s">
        <v>124</v>
      </c>
      <c r="K66"/>
    </row>
    <row r="67" spans="2:15">
      <c r="K67"/>
      <c r="N67" s="11" t="s">
        <v>144</v>
      </c>
    </row>
    <row r="68" spans="2:15">
      <c r="K68"/>
      <c r="L68" s="12" t="s">
        <v>143</v>
      </c>
    </row>
    <row r="69" spans="2:15">
      <c r="D69" s="11" t="s">
        <v>142</v>
      </c>
      <c r="K69"/>
      <c r="L69" s="2">
        <f>+'Data Entry'!M266</f>
        <v>0</v>
      </c>
      <c r="N69" s="2">
        <f>+'Data Entry'!M279</f>
        <v>0</v>
      </c>
      <c r="O69" s="65" t="str">
        <f>+'Data Entry'!$H$18</f>
        <v>EUR</v>
      </c>
    </row>
    <row r="70" spans="2:15">
      <c r="I70" s="2"/>
      <c r="K70"/>
    </row>
    <row r="71" spans="2:15">
      <c r="D71" t="s">
        <v>130</v>
      </c>
      <c r="I71" s="2"/>
      <c r="K71"/>
      <c r="N71" s="2">
        <f>+'Data Entry'!M282</f>
        <v>0</v>
      </c>
      <c r="O71" s="65" t="str">
        <f>+'Data Entry'!$H$18</f>
        <v>EUR</v>
      </c>
    </row>
    <row r="72" spans="2:15">
      <c r="K72"/>
    </row>
    <row r="73" spans="2:15">
      <c r="K73" s="11" t="s">
        <v>145</v>
      </c>
      <c r="N73" s="4">
        <f>SUM(N69:N71)</f>
        <v>0</v>
      </c>
      <c r="O73" s="65" t="str">
        <f>+'Data Entry'!$H$18</f>
        <v>EUR</v>
      </c>
    </row>
    <row r="74" spans="2:15">
      <c r="K74"/>
    </row>
    <row r="75" spans="2:15">
      <c r="K75"/>
    </row>
    <row r="76" spans="2:15">
      <c r="K76"/>
    </row>
    <row r="77" spans="2:15">
      <c r="B77" s="20" t="s">
        <v>146</v>
      </c>
      <c r="C77" s="21"/>
      <c r="D77" s="21"/>
      <c r="E77" s="21"/>
      <c r="F77" s="21"/>
      <c r="G77" s="21"/>
      <c r="H77" s="21"/>
      <c r="I77" s="21"/>
      <c r="J77" s="21"/>
      <c r="K77" s="32"/>
      <c r="L77" s="21"/>
      <c r="M77" s="21"/>
      <c r="N77" s="21"/>
      <c r="O77" s="21"/>
    </row>
    <row r="78" spans="2:15">
      <c r="K78"/>
    </row>
    <row r="79" spans="2:15">
      <c r="K79"/>
    </row>
    <row r="80" spans="2:15" ht="13">
      <c r="C80" s="23" t="s">
        <v>155</v>
      </c>
      <c r="D80" s="23"/>
      <c r="E80" s="23"/>
      <c r="K80"/>
      <c r="L80" s="11" t="s">
        <v>160</v>
      </c>
      <c r="N80" s="12" t="s">
        <v>163</v>
      </c>
    </row>
    <row r="81" spans="3:15">
      <c r="K81" s="11"/>
      <c r="L81" s="11" t="s">
        <v>162</v>
      </c>
      <c r="N81" s="11" t="s">
        <v>164</v>
      </c>
    </row>
    <row r="82" spans="3:15">
      <c r="C82" s="11" t="s">
        <v>159</v>
      </c>
      <c r="K82"/>
      <c r="L82" s="45">
        <f>+'Data Entry'!M294</f>
        <v>0</v>
      </c>
      <c r="M82" s="65" t="str">
        <f>+'Data Entry'!$H$18</f>
        <v>EUR</v>
      </c>
      <c r="N82" s="5">
        <f>+'Data Entry'!N298</f>
        <v>0</v>
      </c>
      <c r="O82" s="47" t="s">
        <v>161</v>
      </c>
    </row>
    <row r="83" spans="3:15">
      <c r="K83"/>
    </row>
    <row r="84" spans="3:15">
      <c r="K84"/>
    </row>
    <row r="85" spans="3:15">
      <c r="K85"/>
    </row>
    <row r="86" spans="3:15" ht="13">
      <c r="C86" s="23" t="s">
        <v>165</v>
      </c>
      <c r="K86"/>
    </row>
    <row r="87" spans="3:15">
      <c r="L87" s="11" t="s">
        <v>157</v>
      </c>
      <c r="N87" s="11" t="s">
        <v>158</v>
      </c>
    </row>
    <row r="88" spans="3:15">
      <c r="L88" s="35"/>
    </row>
    <row r="89" spans="3:15">
      <c r="C89" s="11" t="s">
        <v>156</v>
      </c>
      <c r="L89" s="45">
        <f>+'Data Entry'!M309</f>
        <v>0</v>
      </c>
      <c r="M89" s="11" t="s">
        <v>149</v>
      </c>
      <c r="N89" s="46">
        <f>+'Data Entry'!M311</f>
        <v>0</v>
      </c>
      <c r="O89" s="11" t="s">
        <v>149</v>
      </c>
    </row>
    <row r="91" spans="3:15">
      <c r="C91" s="11" t="s">
        <v>3</v>
      </c>
      <c r="N91" s="5">
        <f>'Data Entry'!N322</f>
        <v>0</v>
      </c>
      <c r="O91" s="65" t="str">
        <f>+'Data Entry'!$H$18</f>
        <v>EUR</v>
      </c>
    </row>
    <row r="94" spans="3:15" ht="13.5" thickBot="1">
      <c r="L94" s="49" t="s">
        <v>181</v>
      </c>
      <c r="M94" s="49"/>
      <c r="N94" s="50">
        <f>N33+N50+N57+N60+N73+N91</f>
        <v>0</v>
      </c>
      <c r="O94" s="67" t="str">
        <f>+'Data Entry'!$H$18</f>
        <v>EUR</v>
      </c>
    </row>
    <row r="95" spans="3:15" ht="13" thickTop="1"/>
    <row r="99" spans="1:15">
      <c r="A99" s="17"/>
      <c r="B99" s="17"/>
      <c r="C99" s="17"/>
      <c r="D99" s="17"/>
      <c r="E99" s="17"/>
      <c r="F99" s="17"/>
      <c r="G99" s="17"/>
      <c r="H99" s="17"/>
      <c r="I99" s="17"/>
      <c r="J99" s="17"/>
      <c r="K99" s="17"/>
      <c r="L99" s="17"/>
      <c r="M99" s="17"/>
      <c r="N99" s="17"/>
      <c r="O99" s="17"/>
    </row>
    <row r="100" spans="1:15">
      <c r="A100" s="11" t="s">
        <v>117</v>
      </c>
      <c r="K10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h X b R W C 3 E i C S l A A A A 9 g A A A B I A H A B D b 2 5 m a W c v U G F j a 2 F n Z S 5 4 b W w g o h g A K K A U A A A A A A A A A A A A A A A A A A A A A A A A A A A A h Y 8 x D o I w G I W v Q r r T l h o T J T 9 l 0 E 1 J T E y M a 1 M q N E A x t F j u 5 u C R v I I Y R d 0 c 3 / e + 4 b 3 7 9 Q b p 0 N T B R X V W t y Z B E a Y o U E a 2 u T Z F g n p 3 C h c o 5 b A T s h K F C k b Z 2 H i w e Y J K 5 8 4 x I d 5 7 7 G e 4 7 Q r C K I 3 I M d v u Z a k a g T 6 y / i + H 2 l g n j F S I w + E 1 h j M c s S V m c 4 Y p k A l C p s 1 X Y O P e Z / s D Y d X X r u 8 U z 0 W 4 3 g C Z I p D 3 B / 4 A U E s D B B Q A A g A I A I V 2 0 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F d t F Y K I p H u A 4 A A A A R A A A A E w A c A E Z v c m 1 1 b G F z L 1 N l Y 3 R p b 2 4 x L m 0 g o h g A K K A U A A A A A A A A A A A A A A A A A A A A A A A A A A A A K 0 5 N L s n M z 1 M I h t C G 1 g B Q S w E C L Q A U A A I A C A C F d t F Y L c S I J K U A A A D 2 A A A A E g A A A A A A A A A A A A A A A A A A A A A A Q 2 9 u Z m l n L 1 B h Y 2 t h Z 2 U u e G 1 s U E s B A i 0 A F A A C A A g A h X b R W A / K 6 a u k A A A A 6 Q A A A B M A A A A A A A A A A A A A A A A A 8 Q A A A F t D b 2 5 0 Z W 5 0 X 1 R 5 c G V z X S 5 4 b W x Q S w E C L Q A U A A I A C A C F d t F 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H f e J / 1 i Z F k G v C D i c A H G k l Q A A A A A C A A A A A A A Q Z g A A A A E A A C A A A A C K J I p A + M 7 F 1 o 0 B k C J r E K a 0 i z B O X + e n C d q I 0 7 / x z w y i A g A A A A A O g A A A A A I A A C A A A A C 5 Z j + v h w 1 r 4 P R / c G Y h 4 7 B n i R v 6 W U 9 c f J R I 1 D p I 2 M 1 O l 1 A A A A B O l + J o X p h 7 z m T Y R / f 3 R p V 3 Q 6 d K 5 I a Y q i D j q 6 P X A r t D H 4 m Q H z L d F + k l V 1 I U p 7 b e 6 X F / 3 u U X g 4 8 L R H G 2 W t s M B T c l o K O 4 b U V n Q d H w e M j v t x v 1 l E A A A A C W V V O B z c r F 8 p w U V v f n E S f c t c P D d B v G u 6 U B R B 4 B w t m s Y U v K 2 f e x I 3 E O 5 z y 1 k 8 z P Q j C S h f j L i k / i k U q 6 i g p I u G O H < / D a t a M a s h u p > 
</file>

<file path=customXml/itemProps1.xml><?xml version="1.0" encoding="utf-8"?>
<ds:datastoreItem xmlns:ds="http://schemas.openxmlformats.org/officeDocument/2006/customXml" ds:itemID="{591128E2-E691-435A-ACE0-D174B4BACD7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Business Value Summary</vt:lpstr>
      <vt:lpstr>Data Entry</vt:lpstr>
      <vt:lpstr>Business Value Summary - ext.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 Skieller</cp:lastModifiedBy>
  <cp:lastPrinted>2024-07-05T11:48:00Z</cp:lastPrinted>
  <dcterms:created xsi:type="dcterms:W3CDTF">2024-06-03T13:10:19Z</dcterms:created>
  <dcterms:modified xsi:type="dcterms:W3CDTF">2024-08-13T09:51:25Z</dcterms:modified>
</cp:coreProperties>
</file>